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7175" windowHeight="9465" activeTab="0"/>
  </bookViews>
  <sheets>
    <sheet name="Октябр29" sheetId="1" r:id="rId1"/>
  </sheets>
  <externalReferences>
    <externalReference r:id="rId4"/>
    <externalReference r:id="rId5"/>
    <externalReference r:id="rId6"/>
  </externalReferences>
  <definedNames>
    <definedName name="Введенные_значения">IF(Сум_кред*Проц_став*Год_кред*Нач_кред&gt;0,1,0)</definedName>
    <definedName name="Год_кред">#REF!</definedName>
    <definedName name="Данные">#REF!</definedName>
    <definedName name="Дат_опл">#REF!</definedName>
    <definedName name="Дат_плат">DATE(YEAR(Нач_кред),MONTH(Нач_кред)+Payment_Number,DAY(Нач_кред))</definedName>
    <definedName name="Доп_плат">#REF!</definedName>
    <definedName name="Кон_сал">#REF!</definedName>
    <definedName name="Нак_проц">#REF!</definedName>
    <definedName name="Нач_кред">#REF!</definedName>
    <definedName name="Нач_сал">#REF!</definedName>
    <definedName name="Ном_плат">#REF!</definedName>
    <definedName name="Осн_сум">#REF!</definedName>
    <definedName name="План_доп_плат">#REF!</definedName>
    <definedName name="План_мес_плат">#REF!</definedName>
    <definedName name="План_плат">#REF!</definedName>
    <definedName name="План_проц_став">#REF!</definedName>
    <definedName name="Полн_печ">#REF!</definedName>
    <definedName name="Посл_строка">IF(Введенные_значения,Строка_заг+Число_платежей,Строка_заг)</definedName>
    <definedName name="Проц">#REF!</definedName>
    <definedName name="Проц_став">#REF!</definedName>
    <definedName name="Сброс_обл_печати">OFFSET(Полн_печ,0,0,Посл_строка)</definedName>
    <definedName name="Строка_заг">ROW(#REF!)</definedName>
    <definedName name="Сум_кред">#REF!</definedName>
    <definedName name="Сум_плат">#REF!</definedName>
    <definedName name="Сум_проц">#REF!</definedName>
    <definedName name="Чис_плат_в_год">#REF!</definedName>
    <definedName name="Число_платежей">MATCH(0.01,Кон_сал,-1)+1</definedName>
  </definedNames>
  <calcPr fullCalcOnLoad="1"/>
</workbook>
</file>

<file path=xl/sharedStrings.xml><?xml version="1.0" encoding="utf-8"?>
<sst xmlns="http://schemas.openxmlformats.org/spreadsheetml/2006/main" count="62" uniqueCount="56">
  <si>
    <t xml:space="preserve">                                                                         Л И Ц Е В О Й   С Ч Е Т</t>
  </si>
  <si>
    <t xml:space="preserve"> улица       Октябрьская,      дом    29</t>
  </si>
  <si>
    <t>Сводная  за 2021 год</t>
  </si>
  <si>
    <t>Задолженность на конец месяца по РКЦ</t>
  </si>
  <si>
    <t>ДОХОД</t>
  </si>
  <si>
    <t>РАСХОД</t>
  </si>
  <si>
    <t>Всего за тект. рем</t>
  </si>
  <si>
    <t>ИТОГ</t>
  </si>
  <si>
    <t>(+,-) за жителями</t>
  </si>
  <si>
    <t>Содержание</t>
  </si>
  <si>
    <t xml:space="preserve">в том числе содержание </t>
  </si>
  <si>
    <t>З/пл.</t>
  </si>
  <si>
    <t>Отчисления (налог)</t>
  </si>
  <si>
    <t>Электроэнергия (СОИ)</t>
  </si>
  <si>
    <t>ГСМ</t>
  </si>
  <si>
    <t>Материалы</t>
  </si>
  <si>
    <t>Услуги ЕРКЦ и банка</t>
  </si>
  <si>
    <t>прочие(комп.програм.,услуги со стороны</t>
  </si>
  <si>
    <t>отопление</t>
  </si>
  <si>
    <t>ХВС</t>
  </si>
  <si>
    <t>ЭС</t>
  </si>
  <si>
    <t>канализ</t>
  </si>
  <si>
    <t>кровля</t>
  </si>
  <si>
    <t>фасад</t>
  </si>
  <si>
    <t xml:space="preserve">пластиковые окна в подъезде </t>
  </si>
  <si>
    <t>подъезды</t>
  </si>
  <si>
    <t>дымоход</t>
  </si>
  <si>
    <t xml:space="preserve">энергоэффективность </t>
  </si>
  <si>
    <t>газораспределение</t>
  </si>
  <si>
    <t>благоуст</t>
  </si>
  <si>
    <t>прочие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</si>
  <si>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</si>
  <si>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</si>
  <si>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</si>
  <si>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</si>
  <si>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</si>
  <si>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</si>
  <si>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</si>
  <si>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</si>
  <si>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</si>
  <si>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</si>
  <si>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</si>
  <si>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</si>
  <si>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Всего</t>
  </si>
  <si>
    <t>с 01 июля 2021 г.</t>
  </si>
  <si>
    <t>СОИ(эл.энергия)            1,68 руб./м2</t>
  </si>
  <si>
    <t>СОИ(     вода )               0,05 руб./м2</t>
  </si>
  <si>
    <t>Всего получено</t>
  </si>
  <si>
    <t xml:space="preserve">выполнено заявок    всего                  </t>
  </si>
  <si>
    <t>Всего израсходовано</t>
  </si>
  <si>
    <t xml:space="preserve">в том числе                                  </t>
  </si>
  <si>
    <t xml:space="preserve">по водоснабжению                            </t>
  </si>
  <si>
    <t xml:space="preserve">по отоплению                                     </t>
  </si>
  <si>
    <t xml:space="preserve">по электроснабжению                         </t>
  </si>
  <si>
    <t xml:space="preserve">по канализации                                  </t>
  </si>
  <si>
    <t>с 01.10.21 г.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</si>
</sst>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\ &quot;р.&quot;_-;_-* \-#,##0.00\ &quot;р.&quot;;_-* &quot;-&quot;??\ &quot;р.&quot;_-;_-@_-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Sylfaen"/>
      <family val="1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Agency FB"/>
      <family val="2"/>
    </font>
    <font>
      <sz val="11"/>
      <color indexed="62"/>
      <name val="Agency FB"/>
      <family val="2"/>
    </font>
    <font>
      <b/>
      <sz val="11"/>
      <color indexed="52"/>
      <name val="Agency FB"/>
      <family val="2"/>
    </font>
    <font>
      <sz val="10"/>
      <name val="Calibri"/>
      <family val="1"/>
    </font>
    <font>
      <sz val="11"/>
      <color theme="1"/>
      <name val="Calibri"/>
      <family val="2"/>
    </font>
    <font>
      <sz val="11"/>
      <color theme="1"/>
      <name val="Agency FB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3F3F76"/>
      <name val="Agency FB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rgb="FFFA7D00"/>
      <name val="Agency FB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6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0" fontId="35" fillId="28" borderId="1" applyNumberFormat="0" applyAlignment="0" applyProtection="0"/>
    <xf numFmtId="0" fontId="36" fillId="28" borderId="1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9" borderId="7" applyNumberFormat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28" fillId="0" borderId="0">
      <alignment/>
      <protection/>
    </xf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29" fillId="32" borderId="8" applyNumberFormat="0" applyFont="0" applyAlignment="0" applyProtection="0"/>
    <xf numFmtId="9" fontId="29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48" fillId="33" borderId="0" applyNumberFormat="0" applyBorder="0" applyAlignment="0" applyProtection="0"/>
  </cellStyleXfs>
  <cellXfs count="5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0" fillId="0" borderId="0" xfId="0" applyFill="1" applyAlignment="1">
      <alignment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6" xfId="0" applyBorder="1" applyAlignment="1">
      <alignment/>
    </xf>
    <xf numFmtId="2" fontId="0" fillId="0" borderId="16" xfId="0" applyNumberFormat="1" applyBorder="1" applyAlignment="1">
      <alignment/>
    </xf>
    <xf numFmtId="1" fontId="0" fillId="0" borderId="16" xfId="0" applyNumberFormat="1" applyBorder="1" applyAlignment="1">
      <alignment/>
    </xf>
    <xf numFmtId="0" fontId="0" fillId="0" borderId="20" xfId="0" applyBorder="1" applyAlignment="1">
      <alignment/>
    </xf>
    <xf numFmtId="0" fontId="0" fillId="34" borderId="16" xfId="0" applyFill="1" applyBorder="1" applyAlignment="1">
      <alignment/>
    </xf>
    <xf numFmtId="0" fontId="0" fillId="0" borderId="16" xfId="0" applyFill="1" applyBorder="1" applyAlignment="1">
      <alignment/>
    </xf>
    <xf numFmtId="0" fontId="19" fillId="0" borderId="16" xfId="0" applyFont="1" applyBorder="1" applyAlignment="1">
      <alignment/>
    </xf>
    <xf numFmtId="1" fontId="19" fillId="0" borderId="16" xfId="0" applyNumberFormat="1" applyFont="1" applyBorder="1" applyAlignment="1">
      <alignment/>
    </xf>
    <xf numFmtId="1" fontId="19" fillId="0" borderId="16" xfId="0" applyNumberFormat="1" applyFont="1" applyFill="1" applyBorder="1" applyAlignment="1">
      <alignment/>
    </xf>
    <xf numFmtId="0" fontId="19" fillId="0" borderId="21" xfId="0" applyFont="1" applyBorder="1" applyAlignment="1">
      <alignment/>
    </xf>
    <xf numFmtId="0" fontId="19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9" fillId="0" borderId="0" xfId="0" applyFont="1" applyBorder="1" applyAlignment="1">
      <alignment/>
    </xf>
    <xf numFmtId="2" fontId="19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23" fillId="34" borderId="16" xfId="0" applyFont="1" applyFill="1" applyBorder="1" applyAlignment="1">
      <alignment/>
    </xf>
    <xf numFmtId="0" fontId="23" fillId="34" borderId="13" xfId="0" applyFont="1" applyFill="1" applyBorder="1" applyAlignment="1">
      <alignment horizontal="center"/>
    </xf>
    <xf numFmtId="0" fontId="23" fillId="34" borderId="14" xfId="0" applyFont="1" applyFill="1" applyBorder="1" applyAlignment="1">
      <alignment horizontal="center"/>
    </xf>
    <xf numFmtId="0" fontId="23" fillId="34" borderId="15" xfId="0" applyFont="1" applyFill="1" applyBorder="1" applyAlignment="1">
      <alignment horizontal="center"/>
    </xf>
    <xf numFmtId="0" fontId="23" fillId="34" borderId="13" xfId="0" applyFont="1" applyFill="1" applyBorder="1" applyAlignment="1">
      <alignment horizontal="left"/>
    </xf>
    <xf numFmtId="0" fontId="23" fillId="34" borderId="14" xfId="0" applyFont="1" applyFill="1" applyBorder="1" applyAlignment="1">
      <alignment horizontal="left"/>
    </xf>
    <xf numFmtId="0" fontId="23" fillId="34" borderId="15" xfId="0" applyFont="1" applyFill="1" applyBorder="1" applyAlignment="1">
      <alignment horizontal="left"/>
    </xf>
    <xf numFmtId="0" fontId="24" fillId="0" borderId="0" xfId="0" applyFont="1" applyAlignment="1">
      <alignment/>
    </xf>
    <xf numFmtId="2" fontId="24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34" borderId="16" xfId="0" applyFont="1" applyFill="1" applyBorder="1" applyAlignment="1">
      <alignment horizontal="left"/>
    </xf>
    <xf numFmtId="0" fontId="24" fillId="0" borderId="0" xfId="0" applyFont="1" applyAlignment="1">
      <alignment/>
    </xf>
    <xf numFmtId="2" fontId="22" fillId="0" borderId="0" xfId="0" applyNumberFormat="1" applyFont="1" applyAlignment="1">
      <alignment/>
    </xf>
    <xf numFmtId="0" fontId="23" fillId="0" borderId="0" xfId="0" applyFont="1" applyAlignment="1">
      <alignment/>
    </xf>
    <xf numFmtId="2" fontId="0" fillId="0" borderId="0" xfId="0" applyNumberFormat="1" applyAlignment="1">
      <alignment/>
    </xf>
    <xf numFmtId="0" fontId="24" fillId="0" borderId="0" xfId="0" applyFont="1" applyAlignment="1">
      <alignment horizontal="left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3 2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вод  2" xfId="41"/>
    <cellStyle name="Вывод" xfId="42"/>
    <cellStyle name="Вычисление" xfId="43"/>
    <cellStyle name="Вычисление 2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94;&#1077;&#1074;&#1099;&#1077;%20&#1089;&#1095;&#1077;&#1090;&#1072;%20202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&#1056;&#1040;&#1057;&#1055;&#1056;&#1045;&#1044;&#1045;&#1051;&#1045;&#1053;&#1048;&#1045;%20&#1050;%20&#1051;&#1048;&#1062;&#1045;&#1042;&#1067;&#1052;%20&#1057;&#1063;&#1045;&#1058;&#1040;&#1052;\2020&#1075;\&#1051;&#1080;&#1094;&#1077;&#1074;&#1099;&#1077;%20&#1089;&#1095;&#1077;&#1090;&#1072;%20202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0;&#1086;&#1087;&#1080;&#1103;%20&#1076;&#1083;&#1103;%20&#1089;&#1090;&#1077;&#1085;&#1076;&#1072;%202021%20&#1051;&#1080;&#1094;%20&#1089;&#1095;&#1077;&#1090;%202%20&#1057;&#1086;&#1076;&#1077;&#1088;&#1078;.&#1058;&#1077;&#1082;.&#1088;&#1077;&#1084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1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2А"/>
      <sheetName val="Кир 4"/>
      <sheetName val="Кир 8"/>
      <sheetName val="Кир 12"/>
      <sheetName val="Кир 14"/>
      <sheetName val="Нефт 13"/>
      <sheetName val="Нефт 17"/>
      <sheetName val="Нефт 36А"/>
      <sheetName val="Нефт 38"/>
      <sheetName val="Окт 4"/>
      <sheetName val="Окт 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</sheetNames>
    <sheetDataSet>
      <sheetData sheetId="54">
        <row r="8">
          <cell r="L8">
            <v>30966.570000000003</v>
          </cell>
          <cell r="Q8">
            <v>299.17750856434884</v>
          </cell>
          <cell r="R8">
            <v>200.80591546726174</v>
          </cell>
          <cell r="AE8">
            <v>259726.58</v>
          </cell>
        </row>
        <row r="9">
          <cell r="L9">
            <v>48500.84</v>
          </cell>
          <cell r="Q9">
            <v>191.89520427338067</v>
          </cell>
          <cell r="R9">
            <v>268.18388449287323</v>
          </cell>
          <cell r="AE9">
            <v>257448.99</v>
          </cell>
        </row>
        <row r="10">
          <cell r="L10">
            <v>33707.57</v>
          </cell>
          <cell r="Q10">
            <v>341.563233862653</v>
          </cell>
          <cell r="R10">
            <v>665.3978308860599</v>
          </cell>
          <cell r="AE10">
            <v>263622.45</v>
          </cell>
        </row>
        <row r="11">
          <cell r="L11">
            <v>31869.12</v>
          </cell>
          <cell r="Q11">
            <v>298.8710329355944</v>
          </cell>
          <cell r="R11">
            <v>419.3715173432656</v>
          </cell>
          <cell r="AE11">
            <v>270240.02</v>
          </cell>
        </row>
        <row r="12">
          <cell r="L12">
            <v>25191.72</v>
          </cell>
          <cell r="Q12">
            <v>398.80208903827435</v>
          </cell>
          <cell r="R12">
            <v>2820.98151783259</v>
          </cell>
          <cell r="AE12">
            <v>284941.13</v>
          </cell>
        </row>
        <row r="13">
          <cell r="L13">
            <v>36310.95</v>
          </cell>
          <cell r="Q13">
            <v>377.2483726916358</v>
          </cell>
          <cell r="R13">
            <v>215.30381696454745</v>
          </cell>
          <cell r="AE13">
            <v>292664</v>
          </cell>
        </row>
        <row r="14">
          <cell r="L14">
            <v>56053.619999999995</v>
          </cell>
          <cell r="Q14">
            <v>330.5732386613148</v>
          </cell>
          <cell r="R14">
            <v>2182.945049499146</v>
          </cell>
          <cell r="AE14">
            <v>275326.76</v>
          </cell>
        </row>
        <row r="15">
          <cell r="L15">
            <v>40932.14</v>
          </cell>
          <cell r="Q15">
            <v>241.4040398854074</v>
          </cell>
          <cell r="R15">
            <v>3329.6362472729547</v>
          </cell>
          <cell r="AE15">
            <v>274510.84</v>
          </cell>
        </row>
        <row r="16">
          <cell r="L16">
            <v>33030.23</v>
          </cell>
          <cell r="Q16">
            <v>378.62282525648493</v>
          </cell>
          <cell r="R16">
            <v>1360.4362265900108</v>
          </cell>
          <cell r="AE16">
            <v>279334.85</v>
          </cell>
        </row>
        <row r="17">
          <cell r="L17">
            <v>44701.97</v>
          </cell>
          <cell r="Q17">
            <v>334.35532709692296</v>
          </cell>
          <cell r="R17">
            <v>291.7164625131419</v>
          </cell>
          <cell r="AE17">
            <v>276419.13</v>
          </cell>
        </row>
        <row r="18">
          <cell r="L18">
            <v>30276.93</v>
          </cell>
          <cell r="Q18">
            <v>236.56335004279634</v>
          </cell>
          <cell r="R18">
            <v>39.83558138535075</v>
          </cell>
          <cell r="AE18">
            <v>285568.84</v>
          </cell>
        </row>
        <row r="19">
          <cell r="L19">
            <v>35152.67</v>
          </cell>
          <cell r="Q19">
            <v>210.16290184590972</v>
          </cell>
          <cell r="R19">
            <v>1649.2414054146163</v>
          </cell>
          <cell r="AE19">
            <v>292205.3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Лист1"/>
      <sheetName val="Свод 2020"/>
      <sheetName val="свод мес"/>
      <sheetName val="Дим 8"/>
      <sheetName val="Дим 10"/>
      <sheetName val="Дим 12"/>
      <sheetName val="Дим 14"/>
      <sheetName val="КМар 1"/>
      <sheetName val="КМар 2"/>
      <sheetName val="КМар 3"/>
      <sheetName val="КМар 4"/>
      <sheetName val="КМар 5"/>
      <sheetName val="КМар 6"/>
      <sheetName val="КМар 7"/>
      <sheetName val="КМар 8"/>
      <sheetName val="КМар 9"/>
      <sheetName val="КМар 11"/>
      <sheetName val="КМар 13"/>
      <sheetName val="КМар15"/>
      <sheetName val="Кир 1"/>
      <sheetName val="Кир 4"/>
      <sheetName val="Кир 2А"/>
      <sheetName val="Кир 12"/>
      <sheetName val="Кир 8"/>
      <sheetName val="Кир 14"/>
      <sheetName val="Нефт 13"/>
      <sheetName val="Нефт 36А"/>
      <sheetName val="Нефт 38"/>
      <sheetName val="Окт 4"/>
      <sheetName val="Окт 7"/>
      <sheetName val="Нефт 17"/>
      <sheetName val="Окт 8"/>
      <sheetName val="Окт 9"/>
      <sheetName val="Окт 10"/>
      <sheetName val="Окт 11"/>
      <sheetName val="Окт 12"/>
      <sheetName val="Окт 13"/>
      <sheetName val="Окт 14"/>
      <sheetName val="Окт 15"/>
      <sheetName val="Окт 16"/>
      <sheetName val="Окт 17"/>
      <sheetName val="Окт 19"/>
      <sheetName val="Раб 23"/>
      <sheetName val="Раб 25"/>
      <sheetName val="Раб 27"/>
      <sheetName val="Раб 36"/>
      <sheetName val="Раб 38"/>
      <sheetName val="Шк 3"/>
      <sheetName val="Раб 40"/>
      <sheetName val="Раб 42"/>
      <sheetName val="Шк 1"/>
      <sheetName val="Шк 7"/>
      <sheetName val="Лен18"/>
      <sheetName val="Окт 29"/>
      <sheetName val="Димитр37"/>
      <sheetName val="Димитр23(1пол"/>
      <sheetName val="Димитр.23 2пол"/>
      <sheetName val="Окт 22"/>
      <sheetName val="Дитр.23 2пол"/>
    </sheetNames>
    <sheetDataSet>
      <sheetData sheetId="54">
        <row r="8">
          <cell r="S8">
            <v>1076.4740822830968</v>
          </cell>
        </row>
        <row r="9">
          <cell r="S9">
            <v>1080.9412093776746</v>
          </cell>
        </row>
        <row r="10">
          <cell r="S10">
            <v>1135.0812733338119</v>
          </cell>
        </row>
        <row r="11">
          <cell r="S11">
            <v>998.7153191020194</v>
          </cell>
        </row>
        <row r="12">
          <cell r="S12">
            <v>1070.6243771651236</v>
          </cell>
        </row>
        <row r="13">
          <cell r="S13">
            <v>1136.535180060423</v>
          </cell>
        </row>
        <row r="14">
          <cell r="S14">
            <v>1127.9694883371178</v>
          </cell>
        </row>
        <row r="15">
          <cell r="S15">
            <v>1088.0932796590362</v>
          </cell>
        </row>
        <row r="16">
          <cell r="S16">
            <v>1169.2553599004154</v>
          </cell>
        </row>
        <row r="17">
          <cell r="S17">
            <v>1018.3443434986692</v>
          </cell>
        </row>
        <row r="18">
          <cell r="S18">
            <v>1074.5971013589303</v>
          </cell>
        </row>
        <row r="19">
          <cell r="S19">
            <v>1268.859730900521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ц.счетСвод"/>
      <sheetName val="Дим8"/>
      <sheetName val="Дим12"/>
      <sheetName val="Дим14"/>
      <sheetName val="К.Марк,1"/>
      <sheetName val="К.Марк,2"/>
      <sheetName val="К.Мар,3"/>
      <sheetName val="К.Мар,4"/>
      <sheetName val="К.Мар,6"/>
      <sheetName val="К.Мар,5"/>
      <sheetName val="К.Мар,7"/>
      <sheetName val="К.Мар,8"/>
      <sheetName val="К.Марк,9"/>
      <sheetName val="К.Марк,11"/>
      <sheetName val="К.Марк,13"/>
      <sheetName val="К.Мар,15"/>
      <sheetName val="Кир,1."/>
      <sheetName val="Кир,2"/>
      <sheetName val="Кир.,4"/>
      <sheetName val="Кир.8"/>
      <sheetName val="Кир.,12"/>
      <sheetName val="Кир,14"/>
      <sheetName val="Нефтян,13"/>
      <sheetName val="Нефтян,17"/>
      <sheetName val="Нефтян,36"/>
      <sheetName val="Нефтян,38"/>
      <sheetName val="Октябр,4"/>
      <sheetName val="Октяб,7"/>
      <sheetName val="Октяб,9"/>
      <sheetName val="Октяб,8"/>
      <sheetName val="Октябр,10"/>
      <sheetName val="Октябр,11"/>
      <sheetName val="Октябр,12"/>
      <sheetName val="Октябр,13"/>
      <sheetName val="Октяб,14"/>
      <sheetName val="Октяб,15"/>
      <sheetName val="Октяб,16"/>
      <sheetName val="Октяб,17"/>
      <sheetName val="Октяб,19"/>
      <sheetName val="Раб,23"/>
      <sheetName val="Раб,25"/>
      <sheetName val="Раб,27"/>
      <sheetName val="Раб.36"/>
      <sheetName val="Раб,38"/>
      <sheetName val="Раб,40"/>
      <sheetName val="Раб,42"/>
      <sheetName val="Школьн,1"/>
      <sheetName val="Школьн,3"/>
      <sheetName val="Школьн,7"/>
      <sheetName val="Ленин,18"/>
      <sheetName val="Димитрова37"/>
      <sheetName val="Октябр29"/>
      <sheetName val="Димитр,23(1пол)"/>
      <sheetName val="Димитр23(2пол)"/>
      <sheetName val="Димитр,23общая"/>
      <sheetName val="Октябр22"/>
      <sheetName val="Лист1"/>
      <sheetName val="Лист4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5">
      <selection activeCell="B22" sqref="B22"/>
    </sheetView>
  </sheetViews>
  <sheetFormatPr defaultColWidth="9.140625" defaultRowHeight="12.75"/>
  <cols>
    <col min="1" max="1" width="10.421875" style="0" customWidth="1"/>
    <col min="2" max="2" width="12.140625" style="0" customWidth="1"/>
    <col min="3" max="3" width="9.421875" style="0" customWidth="1"/>
    <col min="4" max="4" width="7.140625" style="0" customWidth="1"/>
    <col min="5" max="5" width="6.8515625" style="0" customWidth="1"/>
    <col min="6" max="6" width="7.7109375" style="0" customWidth="1"/>
    <col min="7" max="7" width="7.28125" style="0" customWidth="1"/>
    <col min="8" max="8" width="7.8515625" style="0" customWidth="1"/>
    <col min="9" max="9" width="8.140625" style="0" customWidth="1"/>
    <col min="10" max="10" width="6.7109375" style="0" customWidth="1"/>
    <col min="11" max="11" width="5.421875" style="0" customWidth="1"/>
    <col min="12" max="12" width="6.57421875" style="0" customWidth="1"/>
    <col min="13" max="13" width="5.00390625" style="0" customWidth="1"/>
    <col min="14" max="15" width="4.140625" style="0" customWidth="1"/>
    <col min="16" max="16" width="4.8515625" style="0" customWidth="1"/>
    <col min="17" max="17" width="5.7109375" style="0" customWidth="1"/>
    <col min="18" max="18" width="6.140625" style="0" customWidth="1"/>
    <col min="19" max="19" width="4.8515625" style="0" customWidth="1"/>
    <col min="20" max="20" width="5.8515625" style="0" customWidth="1"/>
    <col min="21" max="21" width="5.140625" style="0" customWidth="1"/>
    <col min="22" max="22" width="6.00390625" style="0" customWidth="1"/>
    <col min="23" max="23" width="4.140625" style="0" customWidth="1"/>
    <col min="25" max="25" width="10.140625" style="0" customWidth="1"/>
    <col min="26" max="26" width="9.28125" style="0" customWidth="1"/>
    <col min="27" max="27" width="10.140625" style="0" customWidth="1"/>
  </cols>
  <sheetData>
    <row r="1" spans="1:12" ht="15">
      <c r="A1" s="1" t="s">
        <v>0</v>
      </c>
      <c r="L1" s="2"/>
    </row>
    <row r="2" spans="1:17" ht="14.25">
      <c r="A2" s="2"/>
      <c r="B2" s="3">
        <f>2665.39+496.1</f>
        <v>3161.49</v>
      </c>
      <c r="C2" s="4" t="s">
        <v>1</v>
      </c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5"/>
    </row>
    <row r="3" spans="2:27" ht="18.75" customHeight="1">
      <c r="B3" s="2">
        <f>2592.03+73.36+496.1</f>
        <v>3161.4900000000002</v>
      </c>
      <c r="C3" s="2" t="s">
        <v>2</v>
      </c>
      <c r="D3" s="2"/>
      <c r="E3" s="2"/>
      <c r="F3" s="2"/>
      <c r="G3" s="2"/>
      <c r="H3" s="2"/>
      <c r="I3" s="2"/>
      <c r="J3" s="2"/>
      <c r="AA3" s="6" t="s">
        <v>3</v>
      </c>
    </row>
    <row r="4" ht="12.75">
      <c r="AA4" s="7"/>
    </row>
    <row r="5" spans="1:27" ht="12.75" customHeight="1">
      <c r="A5" s="8">
        <v>2021</v>
      </c>
      <c r="B5" s="8" t="s">
        <v>4</v>
      </c>
      <c r="C5" s="9" t="s">
        <v>5</v>
      </c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  <c r="X5" s="6" t="s">
        <v>6</v>
      </c>
      <c r="Y5" s="6" t="s">
        <v>7</v>
      </c>
      <c r="Z5" s="12" t="s">
        <v>8</v>
      </c>
      <c r="AA5" s="7"/>
    </row>
    <row r="6" spans="1:27" ht="12.75">
      <c r="A6" s="13"/>
      <c r="B6" s="13"/>
      <c r="C6" s="14" t="s">
        <v>9</v>
      </c>
      <c r="D6" s="15" t="s">
        <v>10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1"/>
      <c r="X6" s="16"/>
      <c r="Y6" s="16"/>
      <c r="Z6" s="12"/>
      <c r="AA6" s="7"/>
    </row>
    <row r="7" spans="1:27" ht="102">
      <c r="A7" s="17"/>
      <c r="B7" s="17"/>
      <c r="C7" s="18"/>
      <c r="D7" s="19" t="s">
        <v>11</v>
      </c>
      <c r="E7" s="19" t="s">
        <v>12</v>
      </c>
      <c r="F7" s="19" t="s">
        <v>13</v>
      </c>
      <c r="G7" s="19" t="s">
        <v>14</v>
      </c>
      <c r="H7" s="19" t="s">
        <v>15</v>
      </c>
      <c r="I7" s="19" t="s">
        <v>16</v>
      </c>
      <c r="J7" s="19" t="s">
        <v>17</v>
      </c>
      <c r="K7" s="20" t="s">
        <v>18</v>
      </c>
      <c r="L7" s="20" t="s">
        <v>19</v>
      </c>
      <c r="M7" s="20" t="s">
        <v>20</v>
      </c>
      <c r="N7" s="21" t="s">
        <v>21</v>
      </c>
      <c r="O7" s="22" t="s">
        <v>22</v>
      </c>
      <c r="P7" s="22" t="s">
        <v>23</v>
      </c>
      <c r="Q7" s="22" t="s">
        <v>24</v>
      </c>
      <c r="R7" s="20" t="s">
        <v>25</v>
      </c>
      <c r="S7" s="20" t="s">
        <v>26</v>
      </c>
      <c r="T7" s="22" t="s">
        <v>27</v>
      </c>
      <c r="U7" s="22" t="s">
        <v>28</v>
      </c>
      <c r="V7" s="20" t="s">
        <v>29</v>
      </c>
      <c r="W7" s="20" t="s">
        <v>30</v>
      </c>
      <c r="X7" s="23"/>
      <c r="Y7" s="23"/>
      <c r="Z7" s="12"/>
      <c r="AA7" s="24"/>
    </row>
    <row r="8" spans="1:27" ht="19.5" customHeight="1">
      <c r="A8" s="25" t="s">
        <v>31</v>
      </c>
      <c r="B8" s="26">
        <f>'[1]Окт 29'!$L$8</f>
        <v>30966.570000000003</v>
      </c>
      <c r="C8" s="26">
        <f>8.25*2665.39+7.4*496.1+(1.61+0.05)*B2</f>
        <v>30908.6809</v>
      </c>
      <c r="D8" s="27">
        <f>C8*60/100</f>
        <v>18545.20854</v>
      </c>
      <c r="E8" s="27">
        <f>D8*28/100</f>
        <v>5192.658391200001</v>
      </c>
      <c r="F8" s="26">
        <v>4861.28</v>
      </c>
      <c r="G8" s="26">
        <f>'[1]Окт 29'!$Q8</f>
        <v>299.17750856434884</v>
      </c>
      <c r="H8" s="26">
        <f>'[1]Окт 29'!$R8</f>
        <v>200.80591546726174</v>
      </c>
      <c r="I8" s="26">
        <f>'[2]Окт 29'!$S8</f>
        <v>1076.4740822830968</v>
      </c>
      <c r="J8" s="27">
        <f>C8-(D8+E8+F8+G8+H8+I8)</f>
        <v>733.0764624852927</v>
      </c>
      <c r="K8" s="25"/>
      <c r="L8" s="25">
        <v>134.83</v>
      </c>
      <c r="M8" s="28"/>
      <c r="N8" s="28"/>
      <c r="O8" s="25"/>
      <c r="P8" s="29"/>
      <c r="Q8" s="29"/>
      <c r="R8" s="29"/>
      <c r="S8" s="29"/>
      <c r="T8" s="29"/>
      <c r="U8" s="29"/>
      <c r="V8" s="29"/>
      <c r="W8" s="29"/>
      <c r="X8" s="25">
        <f>SUM(K8:W8)</f>
        <v>134.83</v>
      </c>
      <c r="Y8" s="26">
        <f>C8+X8</f>
        <v>31043.5109</v>
      </c>
      <c r="Z8" s="26">
        <f>B8-C8-X8</f>
        <v>-76.94089999999605</v>
      </c>
      <c r="AA8" s="26">
        <f>'[1]Окт 29'!$AE$8</f>
        <v>259726.58</v>
      </c>
    </row>
    <row r="9" spans="1:27" ht="19.5" customHeight="1">
      <c r="A9" s="25" t="s">
        <v>32</v>
      </c>
      <c r="B9" s="26">
        <f>'[1]Окт 29'!$L$9</f>
        <v>48500.84</v>
      </c>
      <c r="C9" s="26">
        <f>8.25*2665.39+7.4*496.1+(1.61+0.05)*B2</f>
        <v>30908.6809</v>
      </c>
      <c r="D9" s="27">
        <f aca="true" t="shared" si="0" ref="D9:D19">C9*60/100</f>
        <v>18545.20854</v>
      </c>
      <c r="E9" s="27">
        <f aca="true" t="shared" si="1" ref="E9:E20">D9*28/100</f>
        <v>5192.658391200001</v>
      </c>
      <c r="F9" s="26">
        <v>9203.68</v>
      </c>
      <c r="G9" s="26">
        <f>'[1]Окт 29'!$Q9</f>
        <v>191.89520427338067</v>
      </c>
      <c r="H9" s="26">
        <f>'[1]Окт 29'!$R9</f>
        <v>268.18388449287323</v>
      </c>
      <c r="I9" s="26">
        <f>'[2]Окт 29'!$S9</f>
        <v>1080.9412093776746</v>
      </c>
      <c r="J9" s="27">
        <f aca="true" t="shared" si="2" ref="J9:J19">C9-(D9+E9+F9+G9+H9+I9)</f>
        <v>-3573.886329343928</v>
      </c>
      <c r="K9" s="25"/>
      <c r="L9" s="25">
        <v>134.83</v>
      </c>
      <c r="M9" s="25"/>
      <c r="N9" s="25"/>
      <c r="O9" s="25"/>
      <c r="P9" s="29"/>
      <c r="Q9" s="29"/>
      <c r="R9" s="29"/>
      <c r="S9" s="29"/>
      <c r="T9" s="29">
        <v>9000</v>
      </c>
      <c r="U9" s="29"/>
      <c r="V9" s="29"/>
      <c r="W9" s="29">
        <f>499</f>
        <v>499</v>
      </c>
      <c r="X9" s="25">
        <f aca="true" t="shared" si="3" ref="X9:X19">SUM(K9:W9)</f>
        <v>9633.83</v>
      </c>
      <c r="Y9" s="26">
        <f aca="true" t="shared" si="4" ref="Y9:Y19">C9+X9</f>
        <v>40542.5109</v>
      </c>
      <c r="Z9" s="26">
        <f aca="true" t="shared" si="5" ref="Z9:Z19">B9-C9-X9</f>
        <v>7958.329099999997</v>
      </c>
      <c r="AA9" s="26">
        <f>'[1]Окт 29'!$AE$9</f>
        <v>257448.99</v>
      </c>
    </row>
    <row r="10" spans="1:27" ht="19.5" customHeight="1">
      <c r="A10" s="25" t="s">
        <v>33</v>
      </c>
      <c r="B10" s="26">
        <f>'[1]Окт 29'!$L$10</f>
        <v>33707.57</v>
      </c>
      <c r="C10" s="26">
        <f>8.25*2665.39+7.4*496.1+(1.61+0.05)*B2</f>
        <v>30908.6809</v>
      </c>
      <c r="D10" s="27">
        <f t="shared" si="0"/>
        <v>18545.20854</v>
      </c>
      <c r="E10" s="27">
        <f t="shared" si="1"/>
        <v>5192.658391200001</v>
      </c>
      <c r="F10" s="26">
        <v>1777.44</v>
      </c>
      <c r="G10" s="26">
        <f>'[1]Окт 29'!$Q10</f>
        <v>341.563233862653</v>
      </c>
      <c r="H10" s="26">
        <f>'[1]Окт 29'!$R10</f>
        <v>665.3978308860599</v>
      </c>
      <c r="I10" s="26">
        <f>'[2]Окт 29'!$S10</f>
        <v>1135.0812733338119</v>
      </c>
      <c r="J10" s="27">
        <f t="shared" si="2"/>
        <v>3251.3316307174755</v>
      </c>
      <c r="K10" s="25"/>
      <c r="L10" s="25">
        <v>134.83</v>
      </c>
      <c r="M10" s="25"/>
      <c r="N10" s="25"/>
      <c r="O10" s="25"/>
      <c r="P10" s="29"/>
      <c r="Q10" s="29"/>
      <c r="R10" s="29"/>
      <c r="S10" s="29"/>
      <c r="T10" s="29"/>
      <c r="U10" s="29"/>
      <c r="V10" s="29"/>
      <c r="W10" s="29"/>
      <c r="X10" s="25">
        <f t="shared" si="3"/>
        <v>134.83</v>
      </c>
      <c r="Y10" s="26">
        <f t="shared" si="4"/>
        <v>31043.5109</v>
      </c>
      <c r="Z10" s="26">
        <f t="shared" si="5"/>
        <v>2664.0591000000004</v>
      </c>
      <c r="AA10" s="26">
        <f>'[1]Окт 29'!$AE$10</f>
        <v>263622.45</v>
      </c>
    </row>
    <row r="11" spans="1:27" ht="19.5" customHeight="1">
      <c r="A11" s="25" t="s">
        <v>34</v>
      </c>
      <c r="B11" s="26">
        <f>'[1]Окт 29'!$L$11</f>
        <v>31869.12</v>
      </c>
      <c r="C11" s="26">
        <f>8.25*2665.39+7.4*496.1+(1.61+0.05)*B2</f>
        <v>30908.6809</v>
      </c>
      <c r="D11" s="27">
        <f t="shared" si="0"/>
        <v>18545.20854</v>
      </c>
      <c r="E11" s="27">
        <f t="shared" si="1"/>
        <v>5192.658391200001</v>
      </c>
      <c r="F11" s="26">
        <v>3318</v>
      </c>
      <c r="G11" s="26">
        <f>'[1]Окт 29'!$Q11</f>
        <v>298.8710329355944</v>
      </c>
      <c r="H11" s="26">
        <f>'[1]Окт 29'!$R11</f>
        <v>419.3715173432656</v>
      </c>
      <c r="I11" s="26">
        <f>'[2]Окт 29'!$S11</f>
        <v>998.7153191020194</v>
      </c>
      <c r="J11" s="27">
        <f t="shared" si="2"/>
        <v>2135.856099419125</v>
      </c>
      <c r="K11" s="25"/>
      <c r="L11" s="25">
        <v>134.83</v>
      </c>
      <c r="M11" s="25"/>
      <c r="N11" s="25"/>
      <c r="O11" s="25"/>
      <c r="P11" s="29"/>
      <c r="Q11" s="29"/>
      <c r="R11" s="29"/>
      <c r="S11" s="29"/>
      <c r="T11" s="29"/>
      <c r="U11" s="29"/>
      <c r="V11" s="29"/>
      <c r="W11" s="29"/>
      <c r="X11" s="25">
        <f t="shared" si="3"/>
        <v>134.83</v>
      </c>
      <c r="Y11" s="26">
        <f t="shared" si="4"/>
        <v>31043.5109</v>
      </c>
      <c r="Z11" s="26">
        <f t="shared" si="5"/>
        <v>825.6090999999996</v>
      </c>
      <c r="AA11" s="26">
        <f>'[1]Окт 29'!$AE$11</f>
        <v>270240.02</v>
      </c>
    </row>
    <row r="12" spans="1:27" ht="19.5" customHeight="1">
      <c r="A12" s="25" t="s">
        <v>35</v>
      </c>
      <c r="B12" s="26">
        <f>'[1]Окт 29'!$L$12</f>
        <v>25191.72</v>
      </c>
      <c r="C12" s="26">
        <f>8.25*2665.39+7.4*496.1+(1.61+0.05)*B2</f>
        <v>30908.6809</v>
      </c>
      <c r="D12" s="27">
        <f t="shared" si="0"/>
        <v>18545.20854</v>
      </c>
      <c r="E12" s="27">
        <f t="shared" si="1"/>
        <v>5192.658391200001</v>
      </c>
      <c r="F12" s="26">
        <v>14.72</v>
      </c>
      <c r="G12" s="26">
        <f>'[1]Окт 29'!$Q12</f>
        <v>398.80208903827435</v>
      </c>
      <c r="H12" s="26">
        <f>'[1]Окт 29'!$R12</f>
        <v>2820.98151783259</v>
      </c>
      <c r="I12" s="26">
        <f>'[2]Окт 29'!$S12</f>
        <v>1070.6243771651236</v>
      </c>
      <c r="J12" s="27">
        <f t="shared" si="2"/>
        <v>2865.6859847640117</v>
      </c>
      <c r="K12" s="25"/>
      <c r="L12" s="25">
        <v>134.83</v>
      </c>
      <c r="M12" s="29"/>
      <c r="N12" s="25"/>
      <c r="O12" s="25"/>
      <c r="P12" s="29"/>
      <c r="Q12" s="29"/>
      <c r="R12" s="29"/>
      <c r="S12" s="29">
        <v>3090</v>
      </c>
      <c r="T12" s="29"/>
      <c r="U12" s="29">
        <v>2950</v>
      </c>
      <c r="V12" s="29"/>
      <c r="W12" s="29"/>
      <c r="X12" s="25">
        <f t="shared" si="3"/>
        <v>6174.83</v>
      </c>
      <c r="Y12" s="26">
        <f t="shared" si="4"/>
        <v>37083.5109</v>
      </c>
      <c r="Z12" s="26">
        <f t="shared" si="5"/>
        <v>-11891.790899999998</v>
      </c>
      <c r="AA12" s="26">
        <f>'[1]Окт 29'!$AE$12</f>
        <v>284941.13</v>
      </c>
    </row>
    <row r="13" spans="1:27" ht="19.5" customHeight="1">
      <c r="A13" s="25" t="s">
        <v>36</v>
      </c>
      <c r="B13" s="26">
        <f>'[1]Окт 29'!$L$13</f>
        <v>36310.95</v>
      </c>
      <c r="C13" s="26">
        <f>8.25*2665.39+7.4*496.1+(1.61+0.05)*B2</f>
        <v>30908.6809</v>
      </c>
      <c r="D13" s="27">
        <f t="shared" si="0"/>
        <v>18545.20854</v>
      </c>
      <c r="E13" s="27">
        <f t="shared" si="1"/>
        <v>5192.658391200001</v>
      </c>
      <c r="F13" s="26">
        <v>4397.6</v>
      </c>
      <c r="G13" s="26">
        <f>'[1]Окт 29'!$Q13</f>
        <v>377.2483726916358</v>
      </c>
      <c r="H13" s="26">
        <f>'[1]Окт 29'!$R13</f>
        <v>215.30381696454745</v>
      </c>
      <c r="I13" s="26">
        <f>'[2]Окт 29'!$S13</f>
        <v>1136.535180060423</v>
      </c>
      <c r="J13" s="27">
        <f t="shared" si="2"/>
        <v>1044.1265990833963</v>
      </c>
      <c r="K13" s="25"/>
      <c r="L13" s="25">
        <v>134.83</v>
      </c>
      <c r="M13" s="25"/>
      <c r="N13" s="25"/>
      <c r="O13" s="30"/>
      <c r="P13" s="29"/>
      <c r="Q13" s="29"/>
      <c r="R13" s="29"/>
      <c r="S13" s="29"/>
      <c r="T13" s="29"/>
      <c r="U13" s="29">
        <v>2950</v>
      </c>
      <c r="V13" s="29"/>
      <c r="W13" s="29"/>
      <c r="X13" s="25">
        <f t="shared" si="3"/>
        <v>3084.83</v>
      </c>
      <c r="Y13" s="26">
        <f t="shared" si="4"/>
        <v>33993.5109</v>
      </c>
      <c r="Z13" s="26">
        <f t="shared" si="5"/>
        <v>2317.439099999998</v>
      </c>
      <c r="AA13" s="26">
        <f>'[1]Окт 29'!$AE$13</f>
        <v>292664</v>
      </c>
    </row>
    <row r="14" spans="1:27" ht="19.5" customHeight="1">
      <c r="A14" s="29" t="s">
        <v>37</v>
      </c>
      <c r="B14" s="26">
        <f>'[1]Окт 29'!$L$14</f>
        <v>56053.619999999995</v>
      </c>
      <c r="C14" s="26">
        <f>8.25*2665.39+7.4*496.1+(1.68+0.05)*B2</f>
        <v>31129.9852</v>
      </c>
      <c r="D14" s="27">
        <f t="shared" si="0"/>
        <v>18677.99112</v>
      </c>
      <c r="E14" s="27">
        <f t="shared" si="1"/>
        <v>5229.8375135999995</v>
      </c>
      <c r="F14" s="26">
        <v>6380.78</v>
      </c>
      <c r="G14" s="26">
        <f>'[1]Окт 29'!$Q14</f>
        <v>330.5732386613148</v>
      </c>
      <c r="H14" s="26">
        <f>'[1]Окт 29'!$R14</f>
        <v>2182.945049499146</v>
      </c>
      <c r="I14" s="26">
        <f>'[2]Окт 29'!$S14</f>
        <v>1127.9694883371178</v>
      </c>
      <c r="J14" s="27">
        <f t="shared" si="2"/>
        <v>-2800.111210097577</v>
      </c>
      <c r="K14" s="25"/>
      <c r="L14" s="29">
        <v>134.83</v>
      </c>
      <c r="M14" s="29"/>
      <c r="N14" s="29"/>
      <c r="O14" s="29"/>
      <c r="P14" s="29"/>
      <c r="Q14" s="29"/>
      <c r="R14" s="29"/>
      <c r="S14" s="29"/>
      <c r="T14" s="29"/>
      <c r="U14" s="29"/>
      <c r="V14" s="29">
        <v>16800</v>
      </c>
      <c r="W14" s="29"/>
      <c r="X14" s="25">
        <f t="shared" si="3"/>
        <v>16934.83</v>
      </c>
      <c r="Y14" s="26">
        <f t="shared" si="4"/>
        <v>48064.8152</v>
      </c>
      <c r="Z14" s="26">
        <f t="shared" si="5"/>
        <v>7988.804799999994</v>
      </c>
      <c r="AA14" s="26">
        <f>'[1]Окт 29'!$AE$14</f>
        <v>275326.76</v>
      </c>
    </row>
    <row r="15" spans="1:27" ht="19.5" customHeight="1">
      <c r="A15" s="30" t="s">
        <v>38</v>
      </c>
      <c r="B15" s="26">
        <f>'[1]Окт 29'!$L$15</f>
        <v>40932.14</v>
      </c>
      <c r="C15" s="26">
        <f>8.25*2665.39+7.4*496.1+(1.68+0.05)*B2</f>
        <v>31129.9852</v>
      </c>
      <c r="D15" s="27">
        <f t="shared" si="0"/>
        <v>18677.99112</v>
      </c>
      <c r="E15" s="27">
        <f t="shared" si="1"/>
        <v>5229.8375135999995</v>
      </c>
      <c r="F15" s="26">
        <v>4952.19</v>
      </c>
      <c r="G15" s="26">
        <f>'[1]Окт 29'!$Q15</f>
        <v>241.4040398854074</v>
      </c>
      <c r="H15" s="26">
        <f>'[1]Окт 29'!$R15</f>
        <v>3329.6362472729547</v>
      </c>
      <c r="I15" s="26">
        <f>'[2]Окт 29'!$S15</f>
        <v>1088.0932796590362</v>
      </c>
      <c r="J15" s="27">
        <f t="shared" si="2"/>
        <v>-2389.1670004173975</v>
      </c>
      <c r="K15" s="25">
        <v>8100</v>
      </c>
      <c r="L15" s="29">
        <v>134.83</v>
      </c>
      <c r="M15" s="29">
        <v>6800</v>
      </c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5">
        <f t="shared" si="3"/>
        <v>15034.83</v>
      </c>
      <c r="Y15" s="26">
        <f t="shared" si="4"/>
        <v>46164.8152</v>
      </c>
      <c r="Z15" s="26">
        <f t="shared" si="5"/>
        <v>-5232.6752</v>
      </c>
      <c r="AA15" s="26">
        <f>'[1]Окт 29'!$AE$15</f>
        <v>274510.84</v>
      </c>
    </row>
    <row r="16" spans="1:27" ht="19.5" customHeight="1">
      <c r="A16" s="25" t="s">
        <v>39</v>
      </c>
      <c r="B16" s="26">
        <f>'[1]Окт 29'!$L$16</f>
        <v>33030.23</v>
      </c>
      <c r="C16" s="26">
        <f>8.25*2665.39+7.4*496.1+(1.68+0.05)*B2</f>
        <v>31129.9852</v>
      </c>
      <c r="D16" s="27">
        <f t="shared" si="0"/>
        <v>18677.99112</v>
      </c>
      <c r="E16" s="27">
        <f t="shared" si="1"/>
        <v>5229.8375135999995</v>
      </c>
      <c r="F16" s="26">
        <v>827.28</v>
      </c>
      <c r="G16" s="26">
        <f>'[1]Окт 29'!$Q16</f>
        <v>378.62282525648493</v>
      </c>
      <c r="H16" s="26">
        <f>'[1]Окт 29'!$R16</f>
        <v>1360.4362265900108</v>
      </c>
      <c r="I16" s="26">
        <f>'[2]Окт 29'!$S16</f>
        <v>1169.2553599004154</v>
      </c>
      <c r="J16" s="27">
        <f t="shared" si="2"/>
        <v>3486.562154653093</v>
      </c>
      <c r="K16" s="25"/>
      <c r="L16" s="29">
        <v>134.83</v>
      </c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5">
        <f t="shared" si="3"/>
        <v>134.83</v>
      </c>
      <c r="Y16" s="26">
        <f t="shared" si="4"/>
        <v>31264.8152</v>
      </c>
      <c r="Z16" s="26">
        <f t="shared" si="5"/>
        <v>1765.414800000004</v>
      </c>
      <c r="AA16" s="26">
        <f>'[1]Окт 29'!$AE$16</f>
        <v>279334.85</v>
      </c>
    </row>
    <row r="17" spans="1:27" ht="19.5" customHeight="1">
      <c r="A17" s="25" t="s">
        <v>40</v>
      </c>
      <c r="B17" s="26">
        <f>'[1]Окт 29'!$L$17</f>
        <v>44701.97</v>
      </c>
      <c r="C17" s="26">
        <f>8.67*2665.39+7.78*496.1+(1.68+0.05)*B2</f>
        <v>32437.967</v>
      </c>
      <c r="D17" s="27">
        <f t="shared" si="0"/>
        <v>19462.7802</v>
      </c>
      <c r="E17" s="27">
        <f t="shared" si="1"/>
        <v>5449.578456</v>
      </c>
      <c r="F17" s="26">
        <v>5086.24</v>
      </c>
      <c r="G17" s="26">
        <f>'[1]Окт 29'!$Q17</f>
        <v>334.35532709692296</v>
      </c>
      <c r="H17" s="26">
        <f>'[1]Окт 29'!$R17</f>
        <v>291.7164625131419</v>
      </c>
      <c r="I17" s="26">
        <f>'[2]Окт 29'!$S17</f>
        <v>1018.3443434986692</v>
      </c>
      <c r="J17" s="27">
        <f t="shared" si="2"/>
        <v>794.9522108912643</v>
      </c>
      <c r="K17" s="25"/>
      <c r="L17" s="29">
        <v>134.83</v>
      </c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5">
        <f t="shared" si="3"/>
        <v>134.83</v>
      </c>
      <c r="Y17" s="26">
        <f t="shared" si="4"/>
        <v>32572.797000000002</v>
      </c>
      <c r="Z17" s="26">
        <f t="shared" si="5"/>
        <v>12129.173</v>
      </c>
      <c r="AA17" s="26">
        <f>'[1]Окт 29'!$AE$17</f>
        <v>276419.13</v>
      </c>
    </row>
    <row r="18" spans="1:27" ht="19.5" customHeight="1">
      <c r="A18" s="25" t="s">
        <v>41</v>
      </c>
      <c r="B18" s="26">
        <f>'[1]Окт 29'!$L$18</f>
        <v>30276.93</v>
      </c>
      <c r="C18" s="26">
        <f>8.67*2665.39+7.78*496.1+(1.68+0.05)*B2</f>
        <v>32437.967</v>
      </c>
      <c r="D18" s="27">
        <f t="shared" si="0"/>
        <v>19462.7802</v>
      </c>
      <c r="E18" s="27">
        <f t="shared" si="1"/>
        <v>5449.578456</v>
      </c>
      <c r="F18" s="26">
        <v>4618.98</v>
      </c>
      <c r="G18" s="26">
        <f>'[1]Окт 29'!$Q18</f>
        <v>236.56335004279634</v>
      </c>
      <c r="H18" s="26">
        <f>'[1]Окт 29'!$R18</f>
        <v>39.83558138535075</v>
      </c>
      <c r="I18" s="26">
        <f>'[2]Окт 29'!$S18</f>
        <v>1074.5971013589303</v>
      </c>
      <c r="J18" s="27">
        <f t="shared" si="2"/>
        <v>1555.6323112129212</v>
      </c>
      <c r="K18" s="29"/>
      <c r="L18" s="29">
        <v>134.83</v>
      </c>
      <c r="M18" s="29"/>
      <c r="N18" s="29"/>
      <c r="O18" s="29"/>
      <c r="P18" s="29"/>
      <c r="Q18" s="29"/>
      <c r="R18" s="29">
        <v>27126</v>
      </c>
      <c r="S18" s="29"/>
      <c r="T18" s="29"/>
      <c r="U18" s="29"/>
      <c r="V18" s="29"/>
      <c r="W18" s="29"/>
      <c r="X18" s="25">
        <f t="shared" si="3"/>
        <v>27260.83</v>
      </c>
      <c r="Y18" s="26">
        <f t="shared" si="4"/>
        <v>59698.797000000006</v>
      </c>
      <c r="Z18" s="26">
        <f t="shared" si="5"/>
        <v>-29421.867000000002</v>
      </c>
      <c r="AA18" s="26">
        <f>'[1]Окт 29'!$AE$18</f>
        <v>285568.84</v>
      </c>
    </row>
    <row r="19" spans="1:27" ht="19.5" customHeight="1">
      <c r="A19" s="25" t="s">
        <v>42</v>
      </c>
      <c r="B19" s="26">
        <f>'[1]Окт 29'!$L$19</f>
        <v>35152.67</v>
      </c>
      <c r="C19" s="26">
        <f>8.67*2665.39+7.78*496.1+(1.68+0.05)*B2</f>
        <v>32437.967</v>
      </c>
      <c r="D19" s="27">
        <f t="shared" si="0"/>
        <v>19462.7802</v>
      </c>
      <c r="E19" s="27">
        <f t="shared" si="1"/>
        <v>5449.578456</v>
      </c>
      <c r="F19" s="26">
        <v>8065.98</v>
      </c>
      <c r="G19" s="26">
        <f>'[1]Окт 29'!$Q19</f>
        <v>210.16290184590972</v>
      </c>
      <c r="H19" s="26">
        <f>'[1]Окт 29'!$R19</f>
        <v>1649.2414054146163</v>
      </c>
      <c r="I19" s="26">
        <f>'[2]Окт 29'!$S19</f>
        <v>1268.859730900521</v>
      </c>
      <c r="J19" s="27">
        <f t="shared" si="2"/>
        <v>-3668.6356941610393</v>
      </c>
      <c r="K19" s="29"/>
      <c r="L19" s="29">
        <v>134.83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5">
        <f t="shared" si="3"/>
        <v>134.83</v>
      </c>
      <c r="Y19" s="26">
        <f t="shared" si="4"/>
        <v>32572.797000000002</v>
      </c>
      <c r="Z19" s="26">
        <f t="shared" si="5"/>
        <v>2579.872999999998</v>
      </c>
      <c r="AA19" s="26">
        <f>'[1]Окт 29'!$AE$19</f>
        <v>292205.3</v>
      </c>
    </row>
    <row r="20" spans="1:27" ht="19.5" customHeight="1">
      <c r="A20" s="31" t="s">
        <v>43</v>
      </c>
      <c r="B20" s="32">
        <f>B8+B9+B10+B11+B12+B13+B14+B15+B16+B17+B18+B19</f>
        <v>446694.32999999996</v>
      </c>
      <c r="C20" s="32">
        <f>C8+C9+C10+C11+C12+C13+C14+C15+C16+C17+C18+C19</f>
        <v>376155.94200000004</v>
      </c>
      <c r="D20" s="33">
        <f>SUM(D8:D19)</f>
        <v>225693.56519999998</v>
      </c>
      <c r="E20" s="33">
        <f t="shared" si="1"/>
        <v>63194.19825599999</v>
      </c>
      <c r="F20" s="33">
        <f>SUM(F8:F19)</f>
        <v>53504.17</v>
      </c>
      <c r="G20" s="33">
        <f>SUM(G8:G19)</f>
        <v>3639.239124154723</v>
      </c>
      <c r="H20" s="33">
        <f>SUM(H8:H19)</f>
        <v>13443.855455661818</v>
      </c>
      <c r="I20" s="33">
        <f>SUM(I8:I19)</f>
        <v>13245.49074497684</v>
      </c>
      <c r="J20" s="33">
        <f>SUM(J8:J19)</f>
        <v>3435.4232192066374</v>
      </c>
      <c r="K20" s="31">
        <f aca="true" t="shared" si="6" ref="K20:P20">K8+K9+K10+K11+K12+K13+K14+K15+K16+K17+K18+K19</f>
        <v>8100</v>
      </c>
      <c r="L20" s="32">
        <f t="shared" si="6"/>
        <v>1617.9599999999998</v>
      </c>
      <c r="M20" s="31">
        <f t="shared" si="6"/>
        <v>6800</v>
      </c>
      <c r="N20" s="31">
        <f t="shared" si="6"/>
        <v>0</v>
      </c>
      <c r="O20" s="31">
        <f t="shared" si="6"/>
        <v>0</v>
      </c>
      <c r="P20" s="31">
        <f t="shared" si="6"/>
        <v>0</v>
      </c>
      <c r="Q20" s="31"/>
      <c r="R20" s="31">
        <f>R8+R9+R10+R11+R12+R13+R14+R15+R16+R17+R18+R19</f>
        <v>27126</v>
      </c>
      <c r="S20" s="31">
        <f>S8+S9+S10+S11+S12+S13+S14+S15+S16+S17+S18+S19</f>
        <v>3090</v>
      </c>
      <c r="T20" s="31">
        <f>SUM(T8:T19)</f>
        <v>9000</v>
      </c>
      <c r="U20" s="31">
        <f>SUM(U8:U19)</f>
        <v>5900</v>
      </c>
      <c r="V20" s="31">
        <f>V8+V9+V10+V11+V12+V13+V14+V15+V16+V17+V18+V19</f>
        <v>16800</v>
      </c>
      <c r="W20" s="31">
        <f>W8+W9+W10+W11+W12+W13+W14+W15+W16+W17+W18+W19</f>
        <v>499</v>
      </c>
      <c r="X20" s="25">
        <f>K20+L20+M20+N20+O20+P20+V20+W20+R20+S20+T20+U20+Q20</f>
        <v>78932.95999999999</v>
      </c>
      <c r="Y20" s="26">
        <f>C20+X20</f>
        <v>455088.902</v>
      </c>
      <c r="Z20" s="26">
        <f>B20-C20-X20</f>
        <v>-8394.572000000073</v>
      </c>
      <c r="AA20" s="26"/>
    </row>
    <row r="21" spans="4:10" ht="12.75">
      <c r="D21" s="34"/>
      <c r="E21" s="34"/>
      <c r="F21" s="34"/>
      <c r="G21" s="34"/>
      <c r="H21" s="34"/>
      <c r="I21" s="34"/>
      <c r="J21" s="34"/>
    </row>
    <row r="22" spans="1:12" ht="12.75">
      <c r="A22" s="2"/>
      <c r="B22" s="35"/>
      <c r="D22" s="36" t="s">
        <v>44</v>
      </c>
      <c r="E22" s="36"/>
      <c r="F22" s="36"/>
      <c r="G22" s="36"/>
      <c r="H22" s="36"/>
      <c r="I22" s="36"/>
      <c r="J22" s="36"/>
      <c r="L22" s="2"/>
    </row>
    <row r="23" spans="1:25" ht="12.75">
      <c r="A23" s="2"/>
      <c r="B23" s="35"/>
      <c r="D23" s="37" t="s">
        <v>45</v>
      </c>
      <c r="E23" s="37"/>
      <c r="F23" s="37"/>
      <c r="G23" s="37"/>
      <c r="H23" s="37"/>
      <c r="I23" s="37"/>
      <c r="J23" s="37"/>
      <c r="L23" s="2"/>
      <c r="O23" s="36"/>
      <c r="P23" s="36"/>
      <c r="Q23" s="36"/>
      <c r="R23" s="36"/>
      <c r="S23" s="37"/>
      <c r="T23" s="37"/>
      <c r="U23" s="37"/>
      <c r="V23" s="37"/>
      <c r="W23" s="37"/>
      <c r="X23" s="37"/>
      <c r="Y23" s="37"/>
    </row>
    <row r="24" spans="1:25" ht="12.75">
      <c r="A24" s="38"/>
      <c r="B24" s="39"/>
      <c r="D24" s="37" t="s">
        <v>46</v>
      </c>
      <c r="E24" s="37"/>
      <c r="F24" s="37"/>
      <c r="G24" s="37"/>
      <c r="H24" s="37"/>
      <c r="I24" s="37"/>
      <c r="J24" s="37"/>
      <c r="L24" s="2"/>
      <c r="S24" s="37"/>
      <c r="T24" s="37"/>
      <c r="U24" s="37"/>
      <c r="V24" s="37"/>
      <c r="W24" s="37"/>
      <c r="X24" s="37"/>
      <c r="Y24" s="37"/>
    </row>
    <row r="25" spans="1:25" ht="12.75">
      <c r="A25" s="38"/>
      <c r="B25" s="39"/>
      <c r="D25" s="40"/>
      <c r="E25" s="40"/>
      <c r="F25" s="40"/>
      <c r="G25" s="40"/>
      <c r="H25" s="40"/>
      <c r="I25" s="40"/>
      <c r="J25" s="40"/>
      <c r="L25" s="2"/>
      <c r="S25" s="40"/>
      <c r="T25" s="40"/>
      <c r="U25" s="40"/>
      <c r="V25" s="40"/>
      <c r="W25" s="40"/>
      <c r="X25" s="40"/>
      <c r="Y25" s="40"/>
    </row>
    <row r="26" spans="1:25" ht="15">
      <c r="A26" s="38" t="s">
        <v>47</v>
      </c>
      <c r="C26" s="39">
        <f>B20</f>
        <v>446694.32999999996</v>
      </c>
      <c r="D26" s="41" t="s">
        <v>48</v>
      </c>
      <c r="E26" s="41"/>
      <c r="F26" s="41"/>
      <c r="G26" s="41"/>
      <c r="H26" s="41"/>
      <c r="I26" s="41"/>
      <c r="J26" s="41"/>
      <c r="K26" s="41"/>
      <c r="L26" s="41">
        <v>21</v>
      </c>
      <c r="S26" s="36"/>
      <c r="T26" s="36"/>
      <c r="U26" s="36"/>
      <c r="V26" s="36"/>
      <c r="W26" s="36"/>
      <c r="X26" s="36"/>
      <c r="Y26" s="36"/>
    </row>
    <row r="27" spans="1:25" ht="15">
      <c r="A27" s="38" t="s">
        <v>49</v>
      </c>
      <c r="C27" s="39">
        <f>C20+X20+K29</f>
        <v>455088.902</v>
      </c>
      <c r="D27" s="42" t="s">
        <v>50</v>
      </c>
      <c r="E27" s="43"/>
      <c r="F27" s="43"/>
      <c r="G27" s="43"/>
      <c r="H27" s="43"/>
      <c r="I27" s="43"/>
      <c r="J27" s="43"/>
      <c r="K27" s="43"/>
      <c r="L27" s="44"/>
      <c r="S27" s="36"/>
      <c r="T27" s="36"/>
      <c r="U27" s="36"/>
      <c r="V27" s="36"/>
      <c r="W27" s="36"/>
      <c r="X27" s="36"/>
      <c r="Y27" s="36"/>
    </row>
    <row r="28" spans="2:25" ht="15">
      <c r="B28" s="2"/>
      <c r="D28" s="45" t="s">
        <v>51</v>
      </c>
      <c r="E28" s="46"/>
      <c r="F28" s="46"/>
      <c r="G28" s="46"/>
      <c r="H28" s="46"/>
      <c r="I28" s="46"/>
      <c r="J28" s="46"/>
      <c r="K28" s="47"/>
      <c r="L28" s="41"/>
      <c r="S28" s="37"/>
      <c r="T28" s="37"/>
      <c r="U28" s="37"/>
      <c r="V28" s="37"/>
      <c r="W28" s="37"/>
      <c r="X28" s="37"/>
      <c r="Y28" s="37"/>
    </row>
    <row r="29" spans="1:25" ht="15.75">
      <c r="A29" s="48">
        <v>8.72</v>
      </c>
      <c r="D29" s="45" t="s">
        <v>52</v>
      </c>
      <c r="E29" s="46"/>
      <c r="F29" s="46"/>
      <c r="G29" s="46"/>
      <c r="H29" s="46"/>
      <c r="I29" s="46"/>
      <c r="J29" s="46"/>
      <c r="K29" s="47"/>
      <c r="L29" s="41">
        <v>5</v>
      </c>
      <c r="S29" s="37"/>
      <c r="T29" s="37"/>
      <c r="U29" s="37"/>
      <c r="V29" s="37"/>
      <c r="W29" s="37"/>
      <c r="X29" s="37"/>
      <c r="Y29" s="37"/>
    </row>
    <row r="30" spans="1:18" ht="15.75">
      <c r="A30" s="48">
        <v>3.3</v>
      </c>
      <c r="D30" s="41" t="s">
        <v>53</v>
      </c>
      <c r="E30" s="41"/>
      <c r="F30" s="41"/>
      <c r="G30" s="41"/>
      <c r="H30" s="41"/>
      <c r="I30" s="41"/>
      <c r="J30" s="41"/>
      <c r="K30" s="41"/>
      <c r="L30" s="41">
        <v>5</v>
      </c>
      <c r="M30" s="49"/>
      <c r="N30" s="50"/>
      <c r="P30" s="48"/>
      <c r="Q30" s="48"/>
      <c r="R30" s="50"/>
    </row>
    <row r="31" spans="1:21" ht="15.75">
      <c r="A31" s="48">
        <v>12.03</v>
      </c>
      <c r="D31" s="51" t="s">
        <v>54</v>
      </c>
      <c r="E31" s="51"/>
      <c r="F31" s="51"/>
      <c r="G31" s="51"/>
      <c r="H31" s="51"/>
      <c r="I31" s="51"/>
      <c r="J31" s="51"/>
      <c r="K31" s="51"/>
      <c r="L31" s="41">
        <v>11</v>
      </c>
      <c r="M31" s="49"/>
      <c r="N31" s="50"/>
      <c r="P31" s="52"/>
      <c r="Q31" s="52"/>
      <c r="R31" s="50"/>
      <c r="S31" s="53"/>
      <c r="T31" s="53"/>
      <c r="U31" s="53"/>
    </row>
    <row r="32" spans="1:17" ht="15.75">
      <c r="A32" s="48" t="s">
        <v>55</v>
      </c>
      <c r="B32" s="54"/>
      <c r="C32" s="54"/>
      <c r="D32" s="55"/>
      <c r="E32" s="55"/>
      <c r="F32" s="55"/>
      <c r="G32" s="55"/>
      <c r="H32" s="55"/>
      <c r="I32" s="55"/>
      <c r="J32" s="55"/>
      <c r="K32" s="49"/>
      <c r="M32" s="49"/>
      <c r="P32" s="48"/>
      <c r="Q32" s="48"/>
    </row>
    <row r="33" spans="11:23" ht="15.75" hidden="1">
      <c r="K33" s="56"/>
      <c r="L33" s="56"/>
      <c r="M33" s="56"/>
      <c r="N33" s="56"/>
      <c r="O33" s="41" t="s">
        <v>48</v>
      </c>
      <c r="P33" s="41"/>
      <c r="Q33" s="41"/>
      <c r="R33" s="41"/>
      <c r="S33" s="41"/>
      <c r="T33" s="41"/>
      <c r="U33" s="41"/>
      <c r="V33" s="41"/>
      <c r="W33" s="41">
        <v>21</v>
      </c>
    </row>
    <row r="34" spans="15:23" ht="15" hidden="1">
      <c r="O34" s="42" t="s">
        <v>50</v>
      </c>
      <c r="P34" s="43"/>
      <c r="Q34" s="43"/>
      <c r="R34" s="43"/>
      <c r="S34" s="43"/>
      <c r="T34" s="43"/>
      <c r="U34" s="43"/>
      <c r="V34" s="43"/>
      <c r="W34" s="44"/>
    </row>
    <row r="35" spans="15:23" ht="15" hidden="1">
      <c r="O35" s="45" t="s">
        <v>51</v>
      </c>
      <c r="P35" s="46"/>
      <c r="Q35" s="46"/>
      <c r="R35" s="46"/>
      <c r="S35" s="46"/>
      <c r="T35" s="46"/>
      <c r="U35" s="46"/>
      <c r="V35" s="47"/>
      <c r="W35" s="41"/>
    </row>
    <row r="36" spans="15:23" ht="15" hidden="1">
      <c r="O36" s="45" t="s">
        <v>52</v>
      </c>
      <c r="P36" s="46"/>
      <c r="Q36" s="46"/>
      <c r="R36" s="46"/>
      <c r="S36" s="46"/>
      <c r="T36" s="46"/>
      <c r="U36" s="46"/>
      <c r="V36" s="47"/>
      <c r="W36" s="41">
        <v>5</v>
      </c>
    </row>
    <row r="37" spans="15:23" ht="15" hidden="1">
      <c r="O37" s="41" t="s">
        <v>53</v>
      </c>
      <c r="P37" s="41"/>
      <c r="Q37" s="41"/>
      <c r="R37" s="41"/>
      <c r="S37" s="41"/>
      <c r="T37" s="41"/>
      <c r="U37" s="41"/>
      <c r="V37" s="41"/>
      <c r="W37" s="41">
        <v>5</v>
      </c>
    </row>
    <row r="38" spans="15:23" ht="15" hidden="1">
      <c r="O38" s="51" t="s">
        <v>54</v>
      </c>
      <c r="P38" s="51"/>
      <c r="Q38" s="51"/>
      <c r="R38" s="51"/>
      <c r="S38" s="51"/>
      <c r="T38" s="51"/>
      <c r="U38" s="51"/>
      <c r="V38" s="51"/>
      <c r="W38" s="41">
        <v>11</v>
      </c>
    </row>
    <row r="39" ht="12.75" hidden="1"/>
  </sheetData>
  <sheetProtection/>
  <mergeCells count="30">
    <mergeCell ref="O38:V38"/>
    <mergeCell ref="D31:K31"/>
    <mergeCell ref="K33:L33"/>
    <mergeCell ref="M33:N33"/>
    <mergeCell ref="O34:W34"/>
    <mergeCell ref="O35:V35"/>
    <mergeCell ref="O36:V36"/>
    <mergeCell ref="S26:Y26"/>
    <mergeCell ref="D27:L27"/>
    <mergeCell ref="S27:Y27"/>
    <mergeCell ref="D28:K28"/>
    <mergeCell ref="S28:Y28"/>
    <mergeCell ref="D29:K29"/>
    <mergeCell ref="S29:Y29"/>
    <mergeCell ref="D22:J22"/>
    <mergeCell ref="D23:J23"/>
    <mergeCell ref="O23:R23"/>
    <mergeCell ref="S23:Y23"/>
    <mergeCell ref="D24:J24"/>
    <mergeCell ref="S24:Y24"/>
    <mergeCell ref="C2:P2"/>
    <mergeCell ref="AA3:AA7"/>
    <mergeCell ref="A5:A7"/>
    <mergeCell ref="B5:B7"/>
    <mergeCell ref="C5:W5"/>
    <mergeCell ref="X5:X7"/>
    <mergeCell ref="Y5:Y7"/>
    <mergeCell ref="Z5:Z7"/>
    <mergeCell ref="C6:C7"/>
    <mergeCell ref="D6:W6"/>
  </mergeCells>
  <printOptions/>
  <pageMargins left="0.75" right="0.75" top="1" bottom="1" header="0.5" footer="0.5"/>
  <pageSetup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User3</dc:creator>
  <cp:keywords/>
  <dc:description/>
  <cp:lastModifiedBy>User3</cp:lastModifiedBy>
  <dcterms:created xsi:type="dcterms:W3CDTF">2022-04-15T07:16:40Z</dcterms:created>
  <dcterms:modified xsi:type="dcterms:W3CDTF">2022-04-15T07:16:51Z</dcterms:modified>
  <cp:category/>
  <cp:version/>
  <cp:contentType/>
  <cp:contentStatus/>
</cp:coreProperties>
</file>