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7175" windowHeight="9465" activeTab="0"/>
  </bookViews>
  <sheets>
    <sheet name="Октяб,16" sheetId="1" r:id="rId1"/>
  </sheets>
  <externalReferences>
    <externalReference r:id="rId4"/>
    <externalReference r:id="rId5"/>
    <externalReference r:id="rId6"/>
  </externalReferences>
  <definedNames>
    <definedName name="Введенные_значения">IF(Сум_кред*Проц_став*Год_кред*Нач_кред&gt;0,1,0)</definedName>
    <definedName name="Год_кред">#REF!</definedName>
    <definedName name="Данные">#REF!</definedName>
    <definedName name="Дат_опл">#REF!</definedName>
    <definedName name="Дат_плат">DATE(YEAR(Нач_кред),MONTH(Нач_кред)+Payment_Number,DAY(Нач_кред))</definedName>
    <definedName name="Доп_плат">#REF!</definedName>
    <definedName name="Кон_сал">#REF!</definedName>
    <definedName name="Нак_проц">#REF!</definedName>
    <definedName name="Нач_кред">#REF!</definedName>
    <definedName name="Нач_сал">#REF!</definedName>
    <definedName name="Ном_плат">#REF!</definedName>
    <definedName name="_xlnm.Print_Area" localSheetId="0">'Октяб,16'!$A$1:$AA$32</definedName>
    <definedName name="Осн_сум">#REF!</definedName>
    <definedName name="План_доп_плат">#REF!</definedName>
    <definedName name="План_мес_плат">#REF!</definedName>
    <definedName name="План_плат">#REF!</definedName>
    <definedName name="План_проц_став">#REF!</definedName>
    <definedName name="Полн_печ">#REF!</definedName>
    <definedName name="Посл_строка">IF(Введенные_значения,Строка_заг+Число_платежей,Строка_заг)</definedName>
    <definedName name="Проц">#REF!</definedName>
    <definedName name="Проц_став">#REF!</definedName>
    <definedName name="Сброс_обл_печати">OFFSET(Полн_печ,0,0,Посл_строка)</definedName>
    <definedName name="Строка_заг">ROW(#REF!)</definedName>
    <definedName name="Сум_кред">#REF!</definedName>
    <definedName name="Сум_плат">#REF!</definedName>
    <definedName name="Сум_проц">#REF!</definedName>
    <definedName name="Чис_плат_в_год">#REF!</definedName>
    <definedName name="Число_платежей">MATCH(0.01,Кон_сал,-1)+1</definedName>
  </definedNames>
  <calcPr fullCalcOnLoad="1"/>
</workbook>
</file>

<file path=xl/sharedStrings.xml><?xml version="1.0" encoding="utf-8"?>
<sst xmlns="http://schemas.openxmlformats.org/spreadsheetml/2006/main" count="56" uniqueCount="56">
  <si>
    <t xml:space="preserve">                                                                         Л И Ц Е В О Й   С Ч Е Т</t>
  </si>
  <si>
    <t xml:space="preserve"> улица   Октябрьская,     дом    16</t>
  </si>
  <si>
    <t>Сводная  за 2021 год</t>
  </si>
  <si>
    <t>Задолженность на конец месяца по РКЦ</t>
  </si>
  <si>
    <t>ДОХОД</t>
  </si>
  <si>
    <t>РАСХОД</t>
  </si>
  <si>
    <t>Всего за тект. рем</t>
  </si>
  <si>
    <t>ИТОГ</t>
  </si>
  <si>
    <t>(+,-) за жителями</t>
  </si>
  <si>
    <t>Содержание</t>
  </si>
  <si>
    <t xml:space="preserve">в том числе содержание </t>
  </si>
  <si>
    <t>З/пл.</t>
  </si>
  <si>
    <t>Отчисления (налог)</t>
  </si>
  <si>
    <t>Электроэнергия (СОИ)</t>
  </si>
  <si>
    <t>ГСМ</t>
  </si>
  <si>
    <t>Материалы</t>
  </si>
  <si>
    <t>Услуги ЕРКЦ и банка</t>
  </si>
  <si>
    <t>прочие(комп.програм.,услуги со стороны</t>
  </si>
  <si>
    <t>отопление</t>
  </si>
  <si>
    <t>ХВС</t>
  </si>
  <si>
    <t>ЭС</t>
  </si>
  <si>
    <t>канализ</t>
  </si>
  <si>
    <t>кровля</t>
  </si>
  <si>
    <t>фасад</t>
  </si>
  <si>
    <t>пластиковые окна в подъезде</t>
  </si>
  <si>
    <t>подъезды</t>
  </si>
  <si>
    <t>дымоход</t>
  </si>
  <si>
    <t>энергоэффективность</t>
  </si>
  <si>
    <t>газораспределение</t>
  </si>
  <si>
    <t>благоуст</t>
  </si>
  <si>
    <t>прочие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</si>
  <si>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</si>
  <si>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</si>
  <si>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</si>
  <si>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</si>
  <si>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</si>
  <si>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</si>
  <si>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</si>
  <si>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</si>
  <si>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</si>
  <si>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</si>
  <si>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</si>
  <si>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</si>
  <si>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</si>
  <si>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с 01 июля 2021 г.</t>
  </si>
  <si>
    <t>СОИ(эл.энергия) 1,44 руб./м2</t>
  </si>
  <si>
    <t>СОИ(     вода )               0,05 руб./м2</t>
  </si>
  <si>
    <t>Всего получено</t>
  </si>
  <si>
    <t>Всего израсходовано</t>
  </si>
  <si>
    <t xml:space="preserve">выполнено заявок    всего                  </t>
  </si>
  <si>
    <t xml:space="preserve">в том числе                                  </t>
  </si>
  <si>
    <t xml:space="preserve">по водоснабжению                            </t>
  </si>
  <si>
    <t xml:space="preserve">по отоплению                                     </t>
  </si>
  <si>
    <t xml:space="preserve">по электроснабжению                         </t>
  </si>
  <si>
    <t xml:space="preserve">по канализации                                  </t>
  </si>
  <si>
    <t>С01.10.21 г.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</si>
</sst>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\ &quot;р.&quot;_-;_-* \-#,##0.00\ &quot;р.&quot;;_-* &quot;-&quot;??\ &quot;р.&quot;_-;_-@_-"/>
  </numFmts>
  <fonts count="50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Sylfaen"/>
      <family val="1"/>
    </font>
    <font>
      <b/>
      <sz val="10"/>
      <name val="Arial Cyr"/>
      <family val="0"/>
    </font>
    <font>
      <b/>
      <sz val="11"/>
      <name val="Times New Roman"/>
      <family val="1"/>
    </font>
    <font>
      <sz val="11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u val="single"/>
      <sz val="10"/>
      <name val="Arial Cyr"/>
      <family val="0"/>
    </font>
    <font>
      <sz val="11"/>
      <color indexed="8"/>
      <name val="Agency FB"/>
      <family val="2"/>
    </font>
    <font>
      <sz val="11"/>
      <color indexed="62"/>
      <name val="Agency FB"/>
      <family val="2"/>
    </font>
    <font>
      <b/>
      <sz val="11"/>
      <color indexed="52"/>
      <name val="Agency FB"/>
      <family val="2"/>
    </font>
    <font>
      <sz val="10"/>
      <name val="Calibri"/>
      <family val="1"/>
    </font>
    <font>
      <sz val="11"/>
      <color theme="1"/>
      <name val="Calibri"/>
      <family val="2"/>
    </font>
    <font>
      <sz val="11"/>
      <color theme="1"/>
      <name val="Agency FB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3F3F76"/>
      <name val="Agency FB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rgb="FFFA7D00"/>
      <name val="Agency FB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1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0" fontId="36" fillId="28" borderId="1" applyNumberFormat="0" applyAlignment="0" applyProtection="0"/>
    <xf numFmtId="0" fontId="37" fillId="28" borderId="1" applyNumberFormat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9" borderId="7" applyNumberFormat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29" fillId="0" borderId="0">
      <alignment/>
      <protection/>
    </xf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30" fillId="32" borderId="8" applyNumberFormat="0" applyFont="0" applyAlignment="0" applyProtection="0"/>
    <xf numFmtId="9" fontId="3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49" fillId="33" borderId="0" applyNumberFormat="0" applyBorder="0" applyAlignment="0" applyProtection="0"/>
  </cellStyleXfs>
  <cellXfs count="54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21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0" fillId="0" borderId="16" xfId="0" applyFill="1" applyBorder="1" applyAlignment="1">
      <alignment horizontal="center" wrapText="1"/>
    </xf>
    <xf numFmtId="0" fontId="0" fillId="0" borderId="19" xfId="0" applyBorder="1" applyAlignment="1">
      <alignment horizontal="center" vertical="center" wrapText="1"/>
    </xf>
    <xf numFmtId="0" fontId="0" fillId="0" borderId="19" xfId="0" applyBorder="1" applyAlignment="1">
      <alignment/>
    </xf>
    <xf numFmtId="0" fontId="0" fillId="0" borderId="16" xfId="0" applyBorder="1" applyAlignment="1">
      <alignment/>
    </xf>
    <xf numFmtId="2" fontId="0" fillId="0" borderId="16" xfId="0" applyNumberFormat="1" applyBorder="1" applyAlignment="1">
      <alignment/>
    </xf>
    <xf numFmtId="1" fontId="0" fillId="0" borderId="16" xfId="0" applyNumberFormat="1" applyBorder="1" applyAlignment="1">
      <alignment/>
    </xf>
    <xf numFmtId="0" fontId="0" fillId="34" borderId="16" xfId="0" applyFill="1" applyBorder="1" applyAlignment="1">
      <alignment/>
    </xf>
    <xf numFmtId="0" fontId="0" fillId="34" borderId="16" xfId="0" applyFill="1" applyBorder="1" applyAlignment="1">
      <alignment horizontal="center"/>
    </xf>
    <xf numFmtId="0" fontId="0" fillId="34" borderId="20" xfId="0" applyFill="1" applyBorder="1" applyAlignment="1">
      <alignment/>
    </xf>
    <xf numFmtId="0" fontId="19" fillId="0" borderId="16" xfId="0" applyFont="1" applyBorder="1" applyAlignment="1">
      <alignment/>
    </xf>
    <xf numFmtId="1" fontId="19" fillId="0" borderId="16" xfId="0" applyNumberFormat="1" applyFont="1" applyBorder="1" applyAlignment="1">
      <alignment/>
    </xf>
    <xf numFmtId="1" fontId="19" fillId="0" borderId="16" xfId="0" applyNumberFormat="1" applyFont="1" applyFill="1" applyBorder="1" applyAlignment="1">
      <alignment/>
    </xf>
    <xf numFmtId="0" fontId="19" fillId="0" borderId="21" xfId="0" applyFont="1" applyBorder="1" applyAlignment="1">
      <alignment/>
    </xf>
    <xf numFmtId="0" fontId="19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9" fillId="0" borderId="0" xfId="0" applyFont="1" applyBorder="1" applyAlignment="1">
      <alignment/>
    </xf>
    <xf numFmtId="2" fontId="19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0" fontId="23" fillId="34" borderId="16" xfId="0" applyFont="1" applyFill="1" applyBorder="1" applyAlignment="1">
      <alignment/>
    </xf>
    <xf numFmtId="0" fontId="24" fillId="0" borderId="0" xfId="0" applyFont="1" applyAlignment="1">
      <alignment/>
    </xf>
    <xf numFmtId="2" fontId="22" fillId="0" borderId="0" xfId="0" applyNumberFormat="1" applyFont="1" applyAlignment="1">
      <alignment/>
    </xf>
    <xf numFmtId="0" fontId="23" fillId="34" borderId="13" xfId="0" applyFont="1" applyFill="1" applyBorder="1" applyAlignment="1">
      <alignment horizontal="center"/>
    </xf>
    <xf numFmtId="0" fontId="23" fillId="34" borderId="14" xfId="0" applyFont="1" applyFill="1" applyBorder="1" applyAlignment="1">
      <alignment horizontal="center"/>
    </xf>
    <xf numFmtId="0" fontId="23" fillId="34" borderId="15" xfId="0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0" fontId="23" fillId="34" borderId="13" xfId="0" applyFont="1" applyFill="1" applyBorder="1" applyAlignment="1">
      <alignment horizontal="left"/>
    </xf>
    <xf numFmtId="0" fontId="23" fillId="34" borderId="14" xfId="0" applyFont="1" applyFill="1" applyBorder="1" applyAlignment="1">
      <alignment horizontal="left"/>
    </xf>
    <xf numFmtId="0" fontId="23" fillId="34" borderId="15" xfId="0" applyFont="1" applyFill="1" applyBorder="1" applyAlignment="1">
      <alignment horizontal="left"/>
    </xf>
    <xf numFmtId="0" fontId="25" fillId="0" borderId="0" xfId="0" applyFont="1" applyAlignment="1">
      <alignment/>
    </xf>
    <xf numFmtId="0" fontId="24" fillId="0" borderId="0" xfId="0" applyFont="1" applyAlignment="1">
      <alignment/>
    </xf>
    <xf numFmtId="0" fontId="0" fillId="0" borderId="0" xfId="0" applyAlignment="1">
      <alignment horizontal="right"/>
    </xf>
    <xf numFmtId="0" fontId="23" fillId="34" borderId="16" xfId="0" applyFont="1" applyFill="1" applyBorder="1" applyAlignment="1">
      <alignment horizontal="left"/>
    </xf>
    <xf numFmtId="0" fontId="24" fillId="0" borderId="0" xfId="0" applyFont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3 2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вод  2" xfId="41"/>
    <cellStyle name="Вывод" xfId="42"/>
    <cellStyle name="Вычисление" xfId="43"/>
    <cellStyle name="Вычисление 2" xfId="44"/>
    <cellStyle name="Currency" xfId="45"/>
    <cellStyle name="Currency [0]" xfId="46"/>
    <cellStyle name="Денежный 2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94;&#1077;&#1074;&#1099;&#1077;%20&#1089;&#1095;&#1077;&#1090;&#1072;%20202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&#1052;&#1086;&#1080;%20&#1076;&#1086;&#1082;&#1091;&#1084;&#1077;&#1085;&#1090;&#1099;\&#1056;&#1040;&#1057;&#1055;&#1056;&#1045;&#1044;&#1045;&#1051;&#1045;&#1053;&#1048;&#1045;%20&#1050;%20&#1051;&#1048;&#1062;&#1045;&#1042;&#1067;&#1052;%20&#1057;&#1063;&#1045;&#1058;&#1040;&#1052;\2020&#1075;\&#1051;&#1080;&#1094;&#1077;&#1074;&#1099;&#1077;%20&#1089;&#1095;&#1077;&#1090;&#1072;%20202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6;&#1087;&#1080;&#1103;%20&#1076;&#1083;&#1103;%20&#1089;&#1090;&#1077;&#1085;&#1076;&#1072;%202021%20&#1051;&#1080;&#1094;%20&#1089;&#1095;&#1077;&#1090;%202%20&#1057;&#1086;&#1076;&#1077;&#1088;&#1078;.&#1058;&#1077;&#1082;.&#1088;&#1077;&#1084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  <sheetName val="Лист1"/>
      <sheetName val="Свод 2021"/>
      <sheetName val="свод мес"/>
      <sheetName val="Дим 8"/>
      <sheetName val="Дим 10"/>
      <sheetName val="Дим 12"/>
      <sheetName val="Дим 14"/>
      <sheetName val="КМар 1"/>
      <sheetName val="КМар 2"/>
      <sheetName val="КМар 3"/>
      <sheetName val="КМар 4"/>
      <sheetName val="КМар 5"/>
      <sheetName val="КМар 6"/>
      <sheetName val="КМар 7"/>
      <sheetName val="КМар 8"/>
      <sheetName val="КМар 9"/>
      <sheetName val="КМар 11"/>
      <sheetName val="КМар 13"/>
      <sheetName val="КМар15"/>
      <sheetName val="Кир 1"/>
      <sheetName val="Кир 2А"/>
      <sheetName val="Кир 4"/>
      <sheetName val="Кир 8"/>
      <sheetName val="Кир 12"/>
      <sheetName val="Кир 14"/>
      <sheetName val="Нефт 13"/>
      <sheetName val="Нефт 17"/>
      <sheetName val="Нефт 36А"/>
      <sheetName val="Нефт 38"/>
      <sheetName val="Окт 4"/>
      <sheetName val="Окт 7"/>
      <sheetName val="Окт 8"/>
      <sheetName val="Окт 9"/>
      <sheetName val="Окт 10"/>
      <sheetName val="Окт 11"/>
      <sheetName val="Окт 12"/>
      <sheetName val="Окт 13"/>
      <sheetName val="Окт 14"/>
      <sheetName val="Окт 15"/>
      <sheetName val="Окт 16"/>
      <sheetName val="Окт 17"/>
      <sheetName val="Окт 19"/>
      <sheetName val="Раб 23"/>
      <sheetName val="Раб 25"/>
      <sheetName val="Раб 27"/>
      <sheetName val="Раб 36"/>
      <sheetName val="Раб 38"/>
      <sheetName val="Шк 3"/>
      <sheetName val="Раб 40"/>
      <sheetName val="Раб 42"/>
      <sheetName val="Шк 1"/>
      <sheetName val="Шк 7"/>
      <sheetName val="Лен18"/>
      <sheetName val="Окт 29"/>
      <sheetName val="Димитр37"/>
      <sheetName val="Димитр23(1пол"/>
      <sheetName val="Димитр.23 2пол"/>
      <sheetName val="Окт 22"/>
    </sheetNames>
    <sheetDataSet>
      <sheetData sheetId="40">
        <row r="8">
          <cell r="L8">
            <v>5396.19</v>
          </cell>
          <cell r="Q8">
            <v>59.85705281107467</v>
          </cell>
          <cell r="R8">
            <v>40.17564804446129</v>
          </cell>
          <cell r="AE8">
            <v>32393.24</v>
          </cell>
        </row>
        <row r="9">
          <cell r="L9">
            <v>5643.139999999999</v>
          </cell>
          <cell r="Q9">
            <v>38.39286392717978</v>
          </cell>
          <cell r="R9">
            <v>53.65609538698446</v>
          </cell>
          <cell r="AE9">
            <v>33650.17</v>
          </cell>
        </row>
        <row r="10">
          <cell r="L10">
            <v>6195.76</v>
          </cell>
          <cell r="Q10">
            <v>68.33725110469274</v>
          </cell>
          <cell r="R10">
            <v>213.71402731930755</v>
          </cell>
          <cell r="AE10">
            <v>33843.04</v>
          </cell>
        </row>
        <row r="11">
          <cell r="L11">
            <v>7362.589999999999</v>
          </cell>
          <cell r="Q11">
            <v>59.79573560850924</v>
          </cell>
          <cell r="R11">
            <v>1714.8991100940739</v>
          </cell>
          <cell r="AE11">
            <v>33903.9</v>
          </cell>
        </row>
        <row r="12">
          <cell r="L12">
            <v>9919.160000000002</v>
          </cell>
          <cell r="Q12">
            <v>79.78914531135803</v>
          </cell>
          <cell r="R12">
            <v>2707.2594044453476</v>
          </cell>
          <cell r="AE12">
            <v>34375.36</v>
          </cell>
        </row>
        <row r="13">
          <cell r="L13">
            <v>8971.34</v>
          </cell>
          <cell r="Q13">
            <v>75.47684943114089</v>
          </cell>
          <cell r="R13">
            <v>1392.0762726928083</v>
          </cell>
          <cell r="AE13">
            <v>32304.09</v>
          </cell>
        </row>
        <row r="14">
          <cell r="L14">
            <v>5748.4400000000005</v>
          </cell>
          <cell r="Q14">
            <v>66.13846040576402</v>
          </cell>
          <cell r="R14">
            <v>2234.625239288213</v>
          </cell>
          <cell r="AE14">
            <v>33489.28</v>
          </cell>
        </row>
        <row r="15">
          <cell r="L15">
            <v>6160.610000000001</v>
          </cell>
          <cell r="Q15">
            <v>48.298197393136164</v>
          </cell>
          <cell r="AE15">
            <v>34291.01</v>
          </cell>
        </row>
        <row r="16">
          <cell r="L16">
            <v>8180.4</v>
          </cell>
          <cell r="Q16">
            <v>75.75183895209545</v>
          </cell>
          <cell r="R16">
            <v>84.11753122569495</v>
          </cell>
          <cell r="AE16">
            <v>33041.44</v>
          </cell>
        </row>
        <row r="17">
          <cell r="L17">
            <v>7747.6</v>
          </cell>
          <cell r="Q17">
            <v>66.89515053368405</v>
          </cell>
          <cell r="R17">
            <v>58.36430614821215</v>
          </cell>
          <cell r="AE17">
            <v>32536.81</v>
          </cell>
        </row>
        <row r="18">
          <cell r="L18">
            <v>7374.34</v>
          </cell>
          <cell r="Q18">
            <v>47.32971072800678</v>
          </cell>
          <cell r="R18">
            <v>7.969985812720088</v>
          </cell>
          <cell r="AE18">
            <v>32390.52</v>
          </cell>
        </row>
        <row r="19">
          <cell r="L19">
            <v>11346.36</v>
          </cell>
          <cell r="Q19">
            <v>42.04771934589996</v>
          </cell>
          <cell r="R19">
            <v>329.96708334069405</v>
          </cell>
          <cell r="AE19">
            <v>31287.12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  <sheetName val="Лист1"/>
      <sheetName val="Свод 2020"/>
      <sheetName val="свод мес"/>
      <sheetName val="Дим 8"/>
      <sheetName val="Дим 10"/>
      <sheetName val="Дим 12"/>
      <sheetName val="Дим 14"/>
      <sheetName val="КМар 1"/>
      <sheetName val="КМар 2"/>
      <sheetName val="КМар 3"/>
      <sheetName val="КМар 4"/>
      <sheetName val="КМар 5"/>
      <sheetName val="КМар 6"/>
      <sheetName val="КМар 7"/>
      <sheetName val="КМар 8"/>
      <sheetName val="КМар 9"/>
      <sheetName val="КМар 11"/>
      <sheetName val="КМар 13"/>
      <sheetName val="КМар15"/>
      <sheetName val="Кир 1"/>
      <sheetName val="Кир 4"/>
      <sheetName val="Кир 2А"/>
      <sheetName val="Кир 12"/>
      <sheetName val="Кир 8"/>
      <sheetName val="Кир 14"/>
      <sheetName val="Нефт 13"/>
      <sheetName val="Нефт 36А"/>
      <sheetName val="Нефт 38"/>
      <sheetName val="Окт 4"/>
      <sheetName val="Окт 7"/>
      <sheetName val="Нефт 17"/>
      <sheetName val="Окт 8"/>
      <sheetName val="Окт 9"/>
      <sheetName val="Окт 10"/>
      <sheetName val="Окт 11"/>
      <sheetName val="Окт 12"/>
      <sheetName val="Окт 13"/>
      <sheetName val="Окт 14"/>
      <sheetName val="Окт 15"/>
      <sheetName val="Окт 16"/>
      <sheetName val="Окт 17"/>
      <sheetName val="Окт 19"/>
      <sheetName val="Раб 23"/>
      <sheetName val="Раб 25"/>
      <sheetName val="Раб 27"/>
      <sheetName val="Раб 36"/>
      <sheetName val="Раб 38"/>
      <sheetName val="Шк 3"/>
      <sheetName val="Раб 40"/>
      <sheetName val="Раб 42"/>
      <sheetName val="Шк 1"/>
      <sheetName val="Шк 7"/>
      <sheetName val="Лен18"/>
      <sheetName val="Окт 29"/>
      <sheetName val="Димитр37"/>
      <sheetName val="Димитр23(1пол"/>
      <sheetName val="Димитр.23 2пол"/>
      <sheetName val="Окт 22"/>
      <sheetName val="Дитр.23 2пол"/>
    </sheetNames>
    <sheetDataSet>
      <sheetData sheetId="40">
        <row r="8">
          <cell r="S8">
            <v>215.3723597143784</v>
          </cell>
        </row>
        <row r="9">
          <cell r="S9">
            <v>216.2661069205004</v>
          </cell>
        </row>
        <row r="10">
          <cell r="S10">
            <v>227.09801966343457</v>
          </cell>
        </row>
        <row r="11">
          <cell r="S11">
            <v>199.81500576558548</v>
          </cell>
        </row>
        <row r="12">
          <cell r="S12">
            <v>214.20199731027932</v>
          </cell>
        </row>
        <row r="13">
          <cell r="S13">
            <v>227.3889057401813</v>
          </cell>
        </row>
        <row r="14">
          <cell r="S14">
            <v>225.67515037031532</v>
          </cell>
        </row>
        <row r="15">
          <cell r="S15">
            <v>217.69703617248294</v>
          </cell>
        </row>
        <row r="16">
          <cell r="S16">
            <v>233.93529868953308</v>
          </cell>
        </row>
        <row r="17">
          <cell r="S17">
            <v>203.74222461160855</v>
          </cell>
        </row>
        <row r="18">
          <cell r="S18">
            <v>214.99682832218804</v>
          </cell>
        </row>
        <row r="19">
          <cell r="S19">
            <v>253.86334783927336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ц.счетСвод"/>
      <sheetName val="Дим8"/>
      <sheetName val="Дим12"/>
      <sheetName val="Дим14"/>
      <sheetName val="К.Марк,1"/>
      <sheetName val="К.Марк,2"/>
      <sheetName val="К.Мар,3"/>
      <sheetName val="К.Мар,4"/>
      <sheetName val="К.Мар,6"/>
      <sheetName val="К.Мар,5"/>
      <sheetName val="К.Мар,7"/>
      <sheetName val="К.Мар,8"/>
      <sheetName val="К.Марк,9"/>
      <sheetName val="К.Марк,11"/>
      <sheetName val="К.Марк,13"/>
      <sheetName val="К.Мар,15"/>
      <sheetName val="Кир,1."/>
      <sheetName val="Кир,2"/>
      <sheetName val="Кир.,4"/>
      <sheetName val="Кир.8"/>
      <sheetName val="Кир.,12"/>
      <sheetName val="Кир,14"/>
      <sheetName val="Нефтян,13"/>
      <sheetName val="Нефтян,17"/>
      <sheetName val="Нефтян,36"/>
      <sheetName val="Нефтян,38"/>
      <sheetName val="Октябр,4"/>
      <sheetName val="Октяб,7"/>
      <sheetName val="Октяб,9"/>
      <sheetName val="Октяб,8"/>
      <sheetName val="Октябр,10"/>
      <sheetName val="Октябр,11"/>
      <sheetName val="Октябр,12"/>
      <sheetName val="Октябр,13"/>
      <sheetName val="Октяб,14"/>
      <sheetName val="Октяб,15"/>
      <sheetName val="Октяб,16"/>
      <sheetName val="Октяб,17"/>
      <sheetName val="Октяб,19"/>
      <sheetName val="Раб,23"/>
      <sheetName val="Раб,25"/>
      <sheetName val="Раб,27"/>
      <sheetName val="Раб.36"/>
      <sheetName val="Раб,38"/>
      <sheetName val="Раб,40"/>
      <sheetName val="Раб,42"/>
      <sheetName val="Школьн,1"/>
      <sheetName val="Школьн,3"/>
      <sheetName val="Школьн,7"/>
      <sheetName val="Ленин,18"/>
      <sheetName val="Димитрова37"/>
      <sheetName val="Октябр29"/>
      <sheetName val="Димитр,23(1пол)"/>
      <sheetName val="Димитр23(2пол)"/>
      <sheetName val="Димитр,23общая"/>
      <sheetName val="Октябр22"/>
      <sheetName val="Лист1"/>
      <sheetName val="Лист4"/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2"/>
  <sheetViews>
    <sheetView tabSelected="1" zoomScalePageLayoutView="0" workbookViewId="0" topLeftCell="A5">
      <selection activeCell="P27" sqref="P27"/>
    </sheetView>
  </sheetViews>
  <sheetFormatPr defaultColWidth="9.140625" defaultRowHeight="12.75"/>
  <cols>
    <col min="1" max="1" width="13.7109375" style="0" customWidth="1"/>
    <col min="2" max="2" width="10.28125" style="0" customWidth="1"/>
    <col min="3" max="3" width="10.28125" style="0" bestFit="1" customWidth="1"/>
    <col min="4" max="4" width="6.8515625" style="0" customWidth="1"/>
    <col min="5" max="5" width="6.28125" style="0" customWidth="1"/>
    <col min="6" max="6" width="7.421875" style="0" customWidth="1"/>
    <col min="7" max="7" width="6.57421875" style="0" customWidth="1"/>
    <col min="8" max="8" width="7.8515625" style="0" customWidth="1"/>
    <col min="9" max="9" width="7.28125" style="0" customWidth="1"/>
    <col min="10" max="10" width="6.421875" style="0" customWidth="1"/>
    <col min="11" max="11" width="6.140625" style="0" customWidth="1"/>
    <col min="12" max="12" width="4.8515625" style="0" customWidth="1"/>
    <col min="13" max="13" width="5.00390625" style="0" customWidth="1"/>
    <col min="14" max="14" width="4.8515625" style="0" customWidth="1"/>
    <col min="15" max="16" width="5.140625" style="0" customWidth="1"/>
    <col min="17" max="18" width="5.00390625" style="0" customWidth="1"/>
    <col min="19" max="19" width="4.8515625" style="0" customWidth="1"/>
    <col min="20" max="20" width="5.421875" style="0" customWidth="1"/>
    <col min="21" max="22" width="5.00390625" style="0" customWidth="1"/>
    <col min="23" max="23" width="6.421875" style="0" customWidth="1"/>
    <col min="24" max="24" width="8.421875" style="0" customWidth="1"/>
    <col min="25" max="25" width="8.7109375" style="0" customWidth="1"/>
    <col min="26" max="26" width="9.28125" style="0" customWidth="1"/>
    <col min="27" max="27" width="8.7109375" style="0" customWidth="1"/>
  </cols>
  <sheetData>
    <row r="1" spans="1:12" ht="15">
      <c r="A1" s="1" t="s">
        <v>0</v>
      </c>
      <c r="L1" s="2"/>
    </row>
    <row r="2" spans="1:18" ht="14.25">
      <c r="A2" s="2"/>
      <c r="B2">
        <f>533.27+85.6</f>
        <v>618.87</v>
      </c>
      <c r="C2" s="3" t="s">
        <v>1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2:27" ht="18.75" customHeight="1">
      <c r="B3" s="2"/>
      <c r="C3" s="2" t="s">
        <v>2</v>
      </c>
      <c r="D3" s="2"/>
      <c r="E3" s="2"/>
      <c r="F3" s="2"/>
      <c r="G3" s="2"/>
      <c r="H3" s="2"/>
      <c r="I3" s="2"/>
      <c r="J3" s="2"/>
      <c r="AA3" s="4" t="s">
        <v>3</v>
      </c>
    </row>
    <row r="4" ht="12.75">
      <c r="AA4" s="5"/>
    </row>
    <row r="5" spans="1:27" ht="12.75" customHeight="1">
      <c r="A5" s="6">
        <v>2021</v>
      </c>
      <c r="B5" s="6" t="s">
        <v>4</v>
      </c>
      <c r="C5" s="7" t="s">
        <v>5</v>
      </c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9"/>
      <c r="X5" s="4" t="s">
        <v>6</v>
      </c>
      <c r="Y5" s="4" t="s">
        <v>7</v>
      </c>
      <c r="Z5" s="10" t="s">
        <v>8</v>
      </c>
      <c r="AA5" s="5"/>
    </row>
    <row r="6" spans="1:27" ht="15" customHeight="1">
      <c r="A6" s="11"/>
      <c r="B6" s="11"/>
      <c r="C6" s="12" t="s">
        <v>9</v>
      </c>
      <c r="D6" s="13" t="s">
        <v>10</v>
      </c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9"/>
      <c r="X6" s="14"/>
      <c r="Y6" s="14"/>
      <c r="Z6" s="10"/>
      <c r="AA6" s="5"/>
    </row>
    <row r="7" spans="1:27" ht="102">
      <c r="A7" s="15"/>
      <c r="B7" s="15"/>
      <c r="C7" s="16"/>
      <c r="D7" s="17" t="s">
        <v>11</v>
      </c>
      <c r="E7" s="17" t="s">
        <v>12</v>
      </c>
      <c r="F7" s="17" t="s">
        <v>13</v>
      </c>
      <c r="G7" s="17" t="s">
        <v>14</v>
      </c>
      <c r="H7" s="17" t="s">
        <v>15</v>
      </c>
      <c r="I7" s="17" t="s">
        <v>16</v>
      </c>
      <c r="J7" s="17" t="s">
        <v>17</v>
      </c>
      <c r="K7" s="18" t="s">
        <v>18</v>
      </c>
      <c r="L7" s="19" t="s">
        <v>19</v>
      </c>
      <c r="M7" s="19" t="s">
        <v>20</v>
      </c>
      <c r="N7" s="20" t="s">
        <v>21</v>
      </c>
      <c r="O7" s="18" t="s">
        <v>22</v>
      </c>
      <c r="P7" s="19" t="s">
        <v>23</v>
      </c>
      <c r="Q7" s="18" t="s">
        <v>24</v>
      </c>
      <c r="R7" s="18" t="s">
        <v>25</v>
      </c>
      <c r="S7" s="18" t="s">
        <v>26</v>
      </c>
      <c r="T7" s="18" t="s">
        <v>27</v>
      </c>
      <c r="U7" s="18" t="s">
        <v>28</v>
      </c>
      <c r="V7" s="18" t="s">
        <v>29</v>
      </c>
      <c r="W7" s="19" t="s">
        <v>30</v>
      </c>
      <c r="X7" s="21"/>
      <c r="Y7" s="21"/>
      <c r="Z7" s="10"/>
      <c r="AA7" s="22"/>
    </row>
    <row r="8" spans="1:27" ht="21.75" customHeight="1">
      <c r="A8" s="23" t="s">
        <v>31</v>
      </c>
      <c r="B8" s="24">
        <f>'[1]Окт 16'!$L$8</f>
        <v>5396.19</v>
      </c>
      <c r="C8" s="24">
        <f>7.42*B2+(1.38+0.05)*B2</f>
        <v>5476.9995</v>
      </c>
      <c r="D8" s="25">
        <f>C8*60/100</f>
        <v>3286.1996999999997</v>
      </c>
      <c r="E8" s="25">
        <f>D8*28/100</f>
        <v>920.1359159999998</v>
      </c>
      <c r="F8" s="24">
        <v>3367.2</v>
      </c>
      <c r="G8" s="24">
        <f>'[1]Окт 16'!$Q8</f>
        <v>59.85705281107467</v>
      </c>
      <c r="H8" s="24">
        <f>'[1]Окт 16'!$R8</f>
        <v>40.17564804446129</v>
      </c>
      <c r="I8" s="24">
        <f>'[2]Окт 16'!$S8</f>
        <v>215.3723597143784</v>
      </c>
      <c r="J8" s="25">
        <f>C8-(D8+E8+F8+G8+H8+I8)</f>
        <v>-2411.9411765699133</v>
      </c>
      <c r="K8" s="23"/>
      <c r="L8" s="26">
        <v>66.67</v>
      </c>
      <c r="M8" s="27"/>
      <c r="N8" s="28"/>
      <c r="O8" s="26"/>
      <c r="P8" s="26"/>
      <c r="Q8" s="26"/>
      <c r="R8" s="26"/>
      <c r="S8" s="26"/>
      <c r="T8" s="26"/>
      <c r="U8" s="26"/>
      <c r="V8" s="26"/>
      <c r="W8" s="26"/>
      <c r="X8" s="23">
        <f>SUM(K8:W8)</f>
        <v>66.67</v>
      </c>
      <c r="Y8" s="24">
        <f>C8+X8</f>
        <v>5543.6695</v>
      </c>
      <c r="Z8" s="24">
        <f>B8-C8-X8</f>
        <v>-147.47950000000031</v>
      </c>
      <c r="AA8" s="24">
        <f>'[1]Окт 16'!$AE$8</f>
        <v>32393.24</v>
      </c>
    </row>
    <row r="9" spans="1:27" ht="21.75" customHeight="1">
      <c r="A9" s="23" t="s">
        <v>32</v>
      </c>
      <c r="B9" s="24">
        <f>'[1]Окт 16'!$L$9</f>
        <v>5643.139999999999</v>
      </c>
      <c r="C9" s="24">
        <f>7.42*B2+(1.38+0.05)*B2</f>
        <v>5476.9995</v>
      </c>
      <c r="D9" s="25">
        <f aca="true" t="shared" si="0" ref="D9:D19">C9*60/100</f>
        <v>3286.1996999999997</v>
      </c>
      <c r="E9" s="25">
        <f aca="true" t="shared" si="1" ref="E9:E20">D9*28/100</f>
        <v>920.1359159999998</v>
      </c>
      <c r="F9" s="24">
        <v>1781.12</v>
      </c>
      <c r="G9" s="24">
        <f>'[1]Окт 16'!$Q9</f>
        <v>38.39286392717978</v>
      </c>
      <c r="H9" s="24">
        <f>'[1]Окт 16'!$R9</f>
        <v>53.65609538698446</v>
      </c>
      <c r="I9" s="24">
        <f>'[2]Окт 16'!$S9</f>
        <v>216.2661069205004</v>
      </c>
      <c r="J9" s="25">
        <f aca="true" t="shared" si="2" ref="J9:J19">C9-(D9+E9+F9+G9+H9+I9)</f>
        <v>-818.7711822346646</v>
      </c>
      <c r="K9" s="23"/>
      <c r="L9" s="26">
        <v>66.67</v>
      </c>
      <c r="M9" s="26"/>
      <c r="N9" s="26"/>
      <c r="O9" s="26"/>
      <c r="P9" s="26"/>
      <c r="Q9" s="26"/>
      <c r="R9" s="26"/>
      <c r="S9" s="26"/>
      <c r="T9" s="26">
        <v>9000</v>
      </c>
      <c r="U9" s="26"/>
      <c r="V9" s="26"/>
      <c r="W9" s="26">
        <f>498</f>
        <v>498</v>
      </c>
      <c r="X9" s="23">
        <f>K9+L9+M9+N9+O9+P9+V9+W9+R9+S9+T9+U9</f>
        <v>9564.67</v>
      </c>
      <c r="Y9" s="24">
        <f aca="true" t="shared" si="3" ref="Y9:Y19">C9+X9</f>
        <v>15041.6695</v>
      </c>
      <c r="Z9" s="24">
        <f aca="true" t="shared" si="4" ref="Z9:Z19">B9-C9-X9</f>
        <v>-9398.5295</v>
      </c>
      <c r="AA9" s="23">
        <f>'[1]Окт 16'!$AE$9</f>
        <v>33650.17</v>
      </c>
    </row>
    <row r="10" spans="1:27" ht="21.75" customHeight="1">
      <c r="A10" s="23" t="s">
        <v>33</v>
      </c>
      <c r="B10" s="24">
        <f>'[1]Окт 16'!$L$10</f>
        <v>6195.76</v>
      </c>
      <c r="C10" s="24">
        <f>7.42*B2+(1.38+0.05)*B2</f>
        <v>5476.9995</v>
      </c>
      <c r="D10" s="25">
        <f t="shared" si="0"/>
        <v>3286.1996999999997</v>
      </c>
      <c r="E10" s="25">
        <f t="shared" si="1"/>
        <v>920.1359159999998</v>
      </c>
      <c r="F10" s="24">
        <v>0</v>
      </c>
      <c r="G10" s="24">
        <f>'[1]Окт 16'!$Q10</f>
        <v>68.33725110469274</v>
      </c>
      <c r="H10" s="24">
        <f>'[1]Окт 16'!$R10</f>
        <v>213.71402731930755</v>
      </c>
      <c r="I10" s="24">
        <f>'[2]Окт 16'!$S10</f>
        <v>227.09801966343457</v>
      </c>
      <c r="J10" s="25">
        <f t="shared" si="2"/>
        <v>761.514585912566</v>
      </c>
      <c r="K10" s="23"/>
      <c r="L10" s="26">
        <v>66.67</v>
      </c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3">
        <f>K10+L10+M10+N10+O10+P10+V10+W10+R10+S10</f>
        <v>66.67</v>
      </c>
      <c r="Y10" s="24">
        <f t="shared" si="3"/>
        <v>5543.6695</v>
      </c>
      <c r="Z10" s="24">
        <f t="shared" si="4"/>
        <v>652.0905000000004</v>
      </c>
      <c r="AA10" s="24">
        <f>'[1]Окт 16'!$AE$10</f>
        <v>33843.04</v>
      </c>
    </row>
    <row r="11" spans="1:27" ht="21.75" customHeight="1">
      <c r="A11" s="23" t="s">
        <v>34</v>
      </c>
      <c r="B11" s="24">
        <f>'[1]Окт 16'!$L$11</f>
        <v>7362.589999999999</v>
      </c>
      <c r="C11" s="24">
        <f>7.42*B2+(1.38+0.05)*B2</f>
        <v>5476.9995</v>
      </c>
      <c r="D11" s="25">
        <f t="shared" si="0"/>
        <v>3286.1996999999997</v>
      </c>
      <c r="E11" s="25">
        <f t="shared" si="1"/>
        <v>920.1359159999998</v>
      </c>
      <c r="F11" s="24">
        <v>1043.44</v>
      </c>
      <c r="G11" s="24">
        <f>'[1]Окт 16'!$Q11</f>
        <v>59.79573560850924</v>
      </c>
      <c r="H11" s="24">
        <f>'[1]Окт 16'!$R11</f>
        <v>1714.8991100940739</v>
      </c>
      <c r="I11" s="24">
        <f>'[2]Окт 16'!$S11</f>
        <v>199.81500576558548</v>
      </c>
      <c r="J11" s="25">
        <f t="shared" si="2"/>
        <v>-1747.2859674681677</v>
      </c>
      <c r="K11" s="23"/>
      <c r="L11" s="26">
        <v>66.67</v>
      </c>
      <c r="M11" s="26">
        <v>8621</v>
      </c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3">
        <f>K11+L11+M11+N11+O11+P11+V11+W11+R11+S11</f>
        <v>8687.67</v>
      </c>
      <c r="Y11" s="24">
        <f t="shared" si="3"/>
        <v>14164.6695</v>
      </c>
      <c r="Z11" s="24">
        <f t="shared" si="4"/>
        <v>-6802.079500000001</v>
      </c>
      <c r="AA11" s="24">
        <f>'[1]Окт 16'!$AE$11</f>
        <v>33903.9</v>
      </c>
    </row>
    <row r="12" spans="1:27" ht="21.75" customHeight="1">
      <c r="A12" s="23" t="s">
        <v>35</v>
      </c>
      <c r="B12" s="24">
        <f>'[1]Окт 16'!$L$12</f>
        <v>9919.160000000002</v>
      </c>
      <c r="C12" s="24">
        <f>7.42*B2+(1.38+0.05)*B2</f>
        <v>5476.9995</v>
      </c>
      <c r="D12" s="25">
        <f t="shared" si="0"/>
        <v>3286.1996999999997</v>
      </c>
      <c r="E12" s="25">
        <f t="shared" si="1"/>
        <v>920.1359159999998</v>
      </c>
      <c r="F12" s="24">
        <v>2244.8</v>
      </c>
      <c r="G12" s="24">
        <f>'[1]Окт 16'!$Q12</f>
        <v>79.78914531135803</v>
      </c>
      <c r="H12" s="24">
        <f>'[1]Окт 16'!$R12</f>
        <v>2707.2594044453476</v>
      </c>
      <c r="I12" s="24">
        <f>'[2]Окт 16'!$S12</f>
        <v>214.20199731027932</v>
      </c>
      <c r="J12" s="25">
        <f t="shared" si="2"/>
        <v>-3975.3866630669854</v>
      </c>
      <c r="K12" s="23"/>
      <c r="L12" s="26">
        <v>66.67</v>
      </c>
      <c r="M12" s="26"/>
      <c r="N12" s="26"/>
      <c r="O12" s="26"/>
      <c r="P12" s="26"/>
      <c r="Q12" s="26"/>
      <c r="R12" s="26"/>
      <c r="S12" s="26">
        <v>1700</v>
      </c>
      <c r="T12" s="26"/>
      <c r="U12" s="26">
        <v>2817</v>
      </c>
      <c r="V12" s="26"/>
      <c r="W12" s="26">
        <f>5747+1500</f>
        <v>7247</v>
      </c>
      <c r="X12" s="23">
        <f>K12+L12+M12+N12+O12+P12+V12+W12+R12+S12+T12+U12</f>
        <v>11830.67</v>
      </c>
      <c r="Y12" s="24">
        <f t="shared" si="3"/>
        <v>17307.6695</v>
      </c>
      <c r="Z12" s="24">
        <f t="shared" si="4"/>
        <v>-7388.509499999998</v>
      </c>
      <c r="AA12" s="24">
        <f>'[1]Окт 16'!$AE$12</f>
        <v>34375.36</v>
      </c>
    </row>
    <row r="13" spans="1:27" ht="21.75" customHeight="1">
      <c r="A13" s="23" t="s">
        <v>36</v>
      </c>
      <c r="B13" s="24">
        <f>'[1]Окт 16'!$L$13</f>
        <v>8971.34</v>
      </c>
      <c r="C13" s="24">
        <f>7.42*B2+(1.38+0.05)*B2</f>
        <v>5476.9995</v>
      </c>
      <c r="D13" s="25">
        <f t="shared" si="0"/>
        <v>3286.1996999999997</v>
      </c>
      <c r="E13" s="25">
        <f t="shared" si="1"/>
        <v>920.1359159999998</v>
      </c>
      <c r="F13" s="24">
        <v>0</v>
      </c>
      <c r="G13" s="24">
        <f>'[1]Окт 16'!$Q13</f>
        <v>75.47684943114089</v>
      </c>
      <c r="H13" s="24">
        <f>'[1]Окт 16'!$R13</f>
        <v>1392.0762726928083</v>
      </c>
      <c r="I13" s="24">
        <f>'[2]Окт 16'!$S13</f>
        <v>227.3889057401813</v>
      </c>
      <c r="J13" s="25">
        <f t="shared" si="2"/>
        <v>-424.27814386413047</v>
      </c>
      <c r="K13" s="23"/>
      <c r="L13" s="26">
        <v>66.67</v>
      </c>
      <c r="M13" s="26"/>
      <c r="N13" s="26"/>
      <c r="O13" s="26"/>
      <c r="P13" s="26">
        <f>3831+2000</f>
        <v>5831</v>
      </c>
      <c r="Q13" s="26"/>
      <c r="R13" s="26"/>
      <c r="S13" s="26"/>
      <c r="T13" s="26"/>
      <c r="U13" s="26"/>
      <c r="V13" s="26"/>
      <c r="W13" s="26"/>
      <c r="X13" s="23">
        <f>K13+L13+M13+N13+O13+P13+V13+W13+R13+S13</f>
        <v>5897.67</v>
      </c>
      <c r="Y13" s="24">
        <f t="shared" si="3"/>
        <v>11374.6695</v>
      </c>
      <c r="Z13" s="24">
        <f t="shared" si="4"/>
        <v>-2403.3295</v>
      </c>
      <c r="AA13" s="24">
        <f>'[1]Окт 16'!$AE$13</f>
        <v>32304.09</v>
      </c>
    </row>
    <row r="14" spans="1:27" ht="21.75" customHeight="1">
      <c r="A14" s="23" t="s">
        <v>37</v>
      </c>
      <c r="B14" s="24">
        <f>'[1]Окт 16'!$L$14</f>
        <v>5748.4400000000005</v>
      </c>
      <c r="C14" s="24">
        <f>7.42*B2+(1.44+0.05)*B2</f>
        <v>5514.1317</v>
      </c>
      <c r="D14" s="25">
        <f t="shared" si="0"/>
        <v>3308.47902</v>
      </c>
      <c r="E14" s="25">
        <f t="shared" si="1"/>
        <v>926.3741256000001</v>
      </c>
      <c r="F14" s="24">
        <v>0</v>
      </c>
      <c r="G14" s="24">
        <f>'[1]Окт 16'!$Q14</f>
        <v>66.13846040576402</v>
      </c>
      <c r="H14" s="24">
        <f>'[1]Окт 16'!$R14</f>
        <v>2234.625239288213</v>
      </c>
      <c r="I14" s="24">
        <f>'[2]Окт 16'!$S14</f>
        <v>225.67515037031532</v>
      </c>
      <c r="J14" s="25">
        <f t="shared" si="2"/>
        <v>-1247.1602956642919</v>
      </c>
      <c r="K14" s="23"/>
      <c r="L14" s="26">
        <v>66.67</v>
      </c>
      <c r="M14" s="26"/>
      <c r="N14" s="26"/>
      <c r="O14" s="26"/>
      <c r="P14" s="26"/>
      <c r="Q14" s="26"/>
      <c r="R14" s="26"/>
      <c r="S14" s="26"/>
      <c r="T14" s="26"/>
      <c r="U14" s="26">
        <v>2817</v>
      </c>
      <c r="V14" s="26"/>
      <c r="W14" s="26"/>
      <c r="X14" s="23">
        <f>K14+L14+M14+N14+O14+P14+V14+W14+R14+S14+T14+U14</f>
        <v>2883.67</v>
      </c>
      <c r="Y14" s="24">
        <f t="shared" si="3"/>
        <v>8397.8017</v>
      </c>
      <c r="Z14" s="24">
        <f t="shared" si="4"/>
        <v>-2649.3616999999995</v>
      </c>
      <c r="AA14" s="24">
        <f>'[1]Окт 16'!$AE$14</f>
        <v>33489.28</v>
      </c>
    </row>
    <row r="15" spans="1:27" ht="21.75" customHeight="1">
      <c r="A15" s="23" t="s">
        <v>38</v>
      </c>
      <c r="B15" s="24">
        <f>'[1]Окт 16'!$L$15</f>
        <v>6160.610000000001</v>
      </c>
      <c r="C15" s="24">
        <f>7.42*B2+(1.44+0.05)*B2</f>
        <v>5514.1317</v>
      </c>
      <c r="D15" s="25">
        <f t="shared" si="0"/>
        <v>3308.47902</v>
      </c>
      <c r="E15" s="25">
        <f t="shared" si="1"/>
        <v>926.3741256000001</v>
      </c>
      <c r="F15" s="24">
        <v>1110.7</v>
      </c>
      <c r="G15" s="24">
        <f>'[1]Окт 16'!$Q15</f>
        <v>48.298197393136164</v>
      </c>
      <c r="H15" s="24">
        <v>986.96</v>
      </c>
      <c r="I15" s="24">
        <f>'[2]Окт 16'!$S15</f>
        <v>217.69703617248294</v>
      </c>
      <c r="J15" s="25">
        <f t="shared" si="2"/>
        <v>-1084.376679165619</v>
      </c>
      <c r="K15" s="23"/>
      <c r="L15" s="26">
        <v>66.67</v>
      </c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3">
        <f>K15+L15+M15+N15+O15+P15+V15+W15+R15+S15</f>
        <v>66.67</v>
      </c>
      <c r="Y15" s="24">
        <f t="shared" si="3"/>
        <v>5580.8017</v>
      </c>
      <c r="Z15" s="24">
        <f t="shared" si="4"/>
        <v>579.8083000000007</v>
      </c>
      <c r="AA15" s="24">
        <f>'[1]Окт 16'!$AE$15</f>
        <v>34291.01</v>
      </c>
    </row>
    <row r="16" spans="1:27" ht="21.75" customHeight="1">
      <c r="A16" s="23" t="s">
        <v>39</v>
      </c>
      <c r="B16" s="24">
        <f>'[1]Окт 16'!$L$16</f>
        <v>8180.4</v>
      </c>
      <c r="C16" s="24">
        <f>7.42*B2+(1.44+0.05)*B2</f>
        <v>5514.1317</v>
      </c>
      <c r="D16" s="25">
        <f>C16*59/100</f>
        <v>3253.3377029999997</v>
      </c>
      <c r="E16" s="25">
        <f t="shared" si="1"/>
        <v>910.9345568399999</v>
      </c>
      <c r="F16" s="24">
        <v>938.35</v>
      </c>
      <c r="G16" s="24">
        <f>'[1]Окт 16'!$Q16</f>
        <v>75.75183895209545</v>
      </c>
      <c r="H16" s="24">
        <f>'[1]Окт 16'!$R16</f>
        <v>84.11753122569495</v>
      </c>
      <c r="I16" s="24">
        <f>'[2]Окт 16'!$S16</f>
        <v>233.93529868953308</v>
      </c>
      <c r="J16" s="25">
        <f t="shared" si="2"/>
        <v>17.704771292676924</v>
      </c>
      <c r="K16" s="23">
        <f>7044+5200</f>
        <v>12244</v>
      </c>
      <c r="L16" s="26">
        <v>66.67</v>
      </c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3">
        <f>K16+L16+M16+N16+O16+P16+V16+W16+R16+S16</f>
        <v>12310.67</v>
      </c>
      <c r="Y16" s="24">
        <f t="shared" si="3"/>
        <v>17824.8017</v>
      </c>
      <c r="Z16" s="24">
        <f t="shared" si="4"/>
        <v>-9644.4017</v>
      </c>
      <c r="AA16" s="24">
        <f>'[1]Окт 16'!$AE$16</f>
        <v>33041.44</v>
      </c>
    </row>
    <row r="17" spans="1:27" ht="21.75" customHeight="1">
      <c r="A17" s="23" t="s">
        <v>40</v>
      </c>
      <c r="B17" s="24">
        <f>'[1]Окт 16'!$L$17</f>
        <v>7747.6</v>
      </c>
      <c r="C17" s="24">
        <f>7.78*B2+(1.44+0.05)*B2</f>
        <v>5736.9249</v>
      </c>
      <c r="D17" s="25">
        <f t="shared" si="0"/>
        <v>3442.15494</v>
      </c>
      <c r="E17" s="25">
        <f t="shared" si="1"/>
        <v>963.8033832</v>
      </c>
      <c r="F17" s="24">
        <v>2064.37</v>
      </c>
      <c r="G17" s="24">
        <f>'[1]Окт 16'!$Q17</f>
        <v>66.89515053368405</v>
      </c>
      <c r="H17" s="24">
        <f>'[1]Окт 16'!$R17</f>
        <v>58.36430614821215</v>
      </c>
      <c r="I17" s="24">
        <f>'[2]Окт 16'!$S17</f>
        <v>203.74222461160855</v>
      </c>
      <c r="J17" s="25">
        <f t="shared" si="2"/>
        <v>-1062.405104493505</v>
      </c>
      <c r="K17" s="23"/>
      <c r="L17" s="26">
        <v>66.67</v>
      </c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3">
        <f>K17+L17+M17+N17+O17+P17+V17+W17+R17+S17</f>
        <v>66.67</v>
      </c>
      <c r="Y17" s="24">
        <f t="shared" si="3"/>
        <v>5803.5949</v>
      </c>
      <c r="Z17" s="24">
        <f t="shared" si="4"/>
        <v>1944.0051000000003</v>
      </c>
      <c r="AA17" s="24">
        <f>'[1]Окт 16'!$AE$17</f>
        <v>32536.81</v>
      </c>
    </row>
    <row r="18" spans="1:27" ht="21.75" customHeight="1">
      <c r="A18" s="23" t="s">
        <v>41</v>
      </c>
      <c r="B18" s="24">
        <f>'[1]Окт 16'!$L$18</f>
        <v>7374.34</v>
      </c>
      <c r="C18" s="24">
        <f>7.78*B2+(1.44+0.05)*B2</f>
        <v>5736.9249</v>
      </c>
      <c r="D18" s="25">
        <f t="shared" si="0"/>
        <v>3442.15494</v>
      </c>
      <c r="E18" s="25">
        <f t="shared" si="1"/>
        <v>963.8033832</v>
      </c>
      <c r="F18" s="24">
        <v>501.73</v>
      </c>
      <c r="G18" s="24">
        <f>'[1]Окт 16'!$Q18</f>
        <v>47.32971072800678</v>
      </c>
      <c r="H18" s="24">
        <f>'[1]Окт 16'!$R18</f>
        <v>7.969985812720088</v>
      </c>
      <c r="I18" s="24">
        <f>'[2]Окт 16'!$S18</f>
        <v>214.99682832218804</v>
      </c>
      <c r="J18" s="25">
        <f t="shared" si="2"/>
        <v>558.9400519370856</v>
      </c>
      <c r="K18" s="23"/>
      <c r="L18" s="26">
        <v>66.67</v>
      </c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3">
        <f>K18+L18+M18+N18+O18+P18+V18+W18+R18+S18</f>
        <v>66.67</v>
      </c>
      <c r="Y18" s="24">
        <f t="shared" si="3"/>
        <v>5803.5949</v>
      </c>
      <c r="Z18" s="24">
        <f t="shared" si="4"/>
        <v>1570.7451</v>
      </c>
      <c r="AA18" s="24">
        <f>'[1]Окт 16'!$AE$18</f>
        <v>32390.52</v>
      </c>
    </row>
    <row r="19" spans="1:27" ht="21.75" customHeight="1">
      <c r="A19" s="23" t="s">
        <v>42</v>
      </c>
      <c r="B19" s="24">
        <f>'[1]Окт 16'!$L$19</f>
        <v>11346.36</v>
      </c>
      <c r="C19" s="24">
        <f>7.78*B2+(1.44+0.05)*B2</f>
        <v>5736.9249</v>
      </c>
      <c r="D19" s="25">
        <f t="shared" si="0"/>
        <v>3442.15494</v>
      </c>
      <c r="E19" s="25">
        <f t="shared" si="1"/>
        <v>963.8033832</v>
      </c>
      <c r="F19" s="24">
        <v>1122.19</v>
      </c>
      <c r="G19" s="24">
        <f>'[1]Окт 16'!$Q19</f>
        <v>42.04771934589996</v>
      </c>
      <c r="H19" s="24">
        <f>'[1]Окт 16'!$R19</f>
        <v>329.96708334069405</v>
      </c>
      <c r="I19" s="24">
        <f>'[2]Окт 16'!$S19</f>
        <v>253.86334783927336</v>
      </c>
      <c r="J19" s="25">
        <f t="shared" si="2"/>
        <v>-417.10157372586673</v>
      </c>
      <c r="K19" s="23"/>
      <c r="L19" s="26">
        <v>66.67</v>
      </c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>
        <v>29885</v>
      </c>
      <c r="X19" s="23">
        <f>K19+L19+M19+N19+O19+P19+V19+W19+R19+S19</f>
        <v>29951.67</v>
      </c>
      <c r="Y19" s="24">
        <f t="shared" si="3"/>
        <v>35688.5949</v>
      </c>
      <c r="Z19" s="24">
        <f t="shared" si="4"/>
        <v>-24342.234899999996</v>
      </c>
      <c r="AA19" s="24">
        <f>'[1]Окт 16'!$AE$19</f>
        <v>31287.12</v>
      </c>
    </row>
    <row r="20" spans="1:27" ht="21.75" customHeight="1">
      <c r="A20" s="29" t="s">
        <v>43</v>
      </c>
      <c r="B20" s="30">
        <f>B8+B9+B10+B11+B12+B13+B14+B15+B16+B17+B18+B19</f>
        <v>90045.93</v>
      </c>
      <c r="C20" s="30">
        <f>C8+C9+C10+C11+C12+C13+C14+C15+C16+C17+C18+C19</f>
        <v>66615.16679999999</v>
      </c>
      <c r="D20" s="31">
        <f>SUM(D8:D19)</f>
        <v>39913.958762999995</v>
      </c>
      <c r="E20" s="31">
        <f t="shared" si="1"/>
        <v>11175.908453639999</v>
      </c>
      <c r="F20" s="31">
        <f>SUM(F8:F19)</f>
        <v>14173.900000000003</v>
      </c>
      <c r="G20" s="31">
        <f>SUM(G8:G19)</f>
        <v>728.1099755525419</v>
      </c>
      <c r="H20" s="31">
        <f>SUM(H8:H19)</f>
        <v>9823.784703798518</v>
      </c>
      <c r="I20" s="31">
        <f>SUM(I8:I19)</f>
        <v>2650.0522811197607</v>
      </c>
      <c r="J20" s="31">
        <f>SUM(J8:J19)</f>
        <v>-11850.547377110815</v>
      </c>
      <c r="K20" s="29">
        <f aca="true" t="shared" si="5" ref="K20:Q20">K8+K9+K10+K11+K12+K13+K14+K15+K16+K17+K18+K19</f>
        <v>12244</v>
      </c>
      <c r="L20" s="30">
        <f t="shared" si="5"/>
        <v>800.0399999999998</v>
      </c>
      <c r="M20" s="29">
        <f t="shared" si="5"/>
        <v>8621</v>
      </c>
      <c r="N20" s="29">
        <f t="shared" si="5"/>
        <v>0</v>
      </c>
      <c r="O20" s="29">
        <f t="shared" si="5"/>
        <v>0</v>
      </c>
      <c r="P20" s="29">
        <f t="shared" si="5"/>
        <v>5831</v>
      </c>
      <c r="Q20" s="29">
        <f t="shared" si="5"/>
        <v>0</v>
      </c>
      <c r="R20" s="29">
        <f>R8+R9+R10+R11+R12+R13+R14+R15+R16+R17+R18+R19</f>
        <v>0</v>
      </c>
      <c r="S20" s="29">
        <f>S8+S9+S10+S11+S12+S13+S14+S15+S16+S17+S18+S19</f>
        <v>1700</v>
      </c>
      <c r="T20" s="29">
        <f>SUM(T8:T19)</f>
        <v>9000</v>
      </c>
      <c r="U20" s="29">
        <f>SUM(U8:U19)</f>
        <v>5634</v>
      </c>
      <c r="V20" s="29">
        <f>V8+V9+V10+V11+V12+V13+V14+V15+V16+V17+V18+V19</f>
        <v>0</v>
      </c>
      <c r="W20" s="29">
        <f>W8+W9+W10+W11+W12+'[3]Октябр,10'!W13+W14+W15+W16+W17+W18+W19</f>
        <v>37630</v>
      </c>
      <c r="X20" s="25">
        <f>SUM(X8:X19)</f>
        <v>81460.03999999998</v>
      </c>
      <c r="Y20" s="25">
        <f>C20+X20</f>
        <v>148075.20679999999</v>
      </c>
      <c r="Z20" s="25">
        <f>B20-C20-X20</f>
        <v>-58029.27679999998</v>
      </c>
      <c r="AA20" s="24"/>
    </row>
    <row r="21" spans="4:10" ht="12.75">
      <c r="D21" s="32"/>
      <c r="E21" s="32"/>
      <c r="F21" s="32"/>
      <c r="G21" s="32"/>
      <c r="H21" s="32"/>
      <c r="I21" s="32"/>
      <c r="J21" s="32"/>
    </row>
    <row r="22" spans="1:12" ht="12.75">
      <c r="A22" s="2"/>
      <c r="B22" s="33"/>
      <c r="E22" s="34" t="s">
        <v>44</v>
      </c>
      <c r="F22" s="34"/>
      <c r="G22" s="34"/>
      <c r="H22" s="34"/>
      <c r="I22" s="34"/>
      <c r="J22" s="34"/>
      <c r="K22" s="34"/>
      <c r="L22" s="34"/>
    </row>
    <row r="23" spans="1:23" ht="12.75">
      <c r="A23" s="2"/>
      <c r="B23" s="33"/>
      <c r="E23" s="35" t="s">
        <v>45</v>
      </c>
      <c r="F23" s="35"/>
      <c r="G23" s="35"/>
      <c r="H23" s="35"/>
      <c r="I23" s="35"/>
      <c r="J23" s="35"/>
      <c r="K23" s="35"/>
      <c r="L23" s="35"/>
      <c r="N23" s="34"/>
      <c r="O23" s="34"/>
      <c r="P23" s="35"/>
      <c r="Q23" s="35"/>
      <c r="R23" s="35"/>
      <c r="S23" s="35"/>
      <c r="T23" s="35"/>
      <c r="U23" s="35"/>
      <c r="V23" s="35"/>
      <c r="W23" s="35"/>
    </row>
    <row r="24" spans="1:23" ht="12.75">
      <c r="A24" s="36"/>
      <c r="B24" s="37"/>
      <c r="E24" s="35" t="s">
        <v>46</v>
      </c>
      <c r="F24" s="35"/>
      <c r="G24" s="35"/>
      <c r="H24" s="35"/>
      <c r="I24" s="35"/>
      <c r="J24" s="35"/>
      <c r="K24" s="35"/>
      <c r="L24" s="35"/>
      <c r="P24" s="35"/>
      <c r="Q24" s="35"/>
      <c r="R24" s="35"/>
      <c r="S24" s="35"/>
      <c r="T24" s="35"/>
      <c r="U24" s="35"/>
      <c r="V24" s="35"/>
      <c r="W24" s="35"/>
    </row>
    <row r="25" spans="1:23" ht="12.75">
      <c r="A25" s="36" t="s">
        <v>47</v>
      </c>
      <c r="C25" s="37">
        <f>B20</f>
        <v>90045.93</v>
      </c>
      <c r="L25" s="2"/>
      <c r="P25" s="34"/>
      <c r="Q25" s="34"/>
      <c r="R25" s="34"/>
      <c r="S25" s="34"/>
      <c r="T25" s="34"/>
      <c r="U25" s="34"/>
      <c r="V25" s="34"/>
      <c r="W25" s="34"/>
    </row>
    <row r="26" spans="1:26" ht="15.75">
      <c r="A26" s="36" t="s">
        <v>48</v>
      </c>
      <c r="C26" s="37">
        <f>C20+X20</f>
        <v>148075.20679999999</v>
      </c>
      <c r="D26" s="38"/>
      <c r="E26" s="39" t="s">
        <v>49</v>
      </c>
      <c r="F26" s="39"/>
      <c r="G26" s="39"/>
      <c r="H26" s="39"/>
      <c r="I26" s="39"/>
      <c r="J26" s="39"/>
      <c r="K26" s="39"/>
      <c r="L26" s="39">
        <v>3</v>
      </c>
      <c r="X26" s="40"/>
      <c r="Z26" s="41"/>
    </row>
    <row r="27" spans="2:12" ht="15">
      <c r="B27" s="2"/>
      <c r="E27" s="42" t="s">
        <v>50</v>
      </c>
      <c r="F27" s="43"/>
      <c r="G27" s="43"/>
      <c r="H27" s="43"/>
      <c r="I27" s="43"/>
      <c r="J27" s="43"/>
      <c r="K27" s="43"/>
      <c r="L27" s="44"/>
    </row>
    <row r="28" spans="1:12" ht="15">
      <c r="A28" s="45"/>
      <c r="E28" s="46" t="s">
        <v>51</v>
      </c>
      <c r="F28" s="47"/>
      <c r="G28" s="47"/>
      <c r="H28" s="47"/>
      <c r="I28" s="47"/>
      <c r="J28" s="47"/>
      <c r="K28" s="48"/>
      <c r="L28" s="39">
        <v>0</v>
      </c>
    </row>
    <row r="29" spans="1:12" ht="15.75">
      <c r="A29" s="49"/>
      <c r="B29" s="50"/>
      <c r="C29" s="50">
        <v>7.78</v>
      </c>
      <c r="E29" s="46" t="s">
        <v>52</v>
      </c>
      <c r="F29" s="47"/>
      <c r="G29" s="47"/>
      <c r="H29" s="47"/>
      <c r="I29" s="47"/>
      <c r="J29" s="47"/>
      <c r="K29" s="48"/>
      <c r="L29" s="39">
        <v>0</v>
      </c>
    </row>
    <row r="30" spans="1:18" ht="15.75">
      <c r="A30" s="49"/>
      <c r="B30" s="50"/>
      <c r="C30" s="50">
        <v>3.3</v>
      </c>
      <c r="D30" s="40"/>
      <c r="E30" s="39" t="s">
        <v>53</v>
      </c>
      <c r="F30" s="39"/>
      <c r="G30" s="39"/>
      <c r="H30" s="39"/>
      <c r="I30" s="39"/>
      <c r="J30" s="39"/>
      <c r="K30" s="39"/>
      <c r="L30" s="39">
        <v>1</v>
      </c>
      <c r="R30" s="41"/>
    </row>
    <row r="31" spans="1:12" ht="15.75">
      <c r="A31" s="51"/>
      <c r="B31" s="50"/>
      <c r="C31" s="50">
        <f>SUM(C29:C30)</f>
        <v>11.08</v>
      </c>
      <c r="E31" s="52" t="s">
        <v>54</v>
      </c>
      <c r="F31" s="52"/>
      <c r="G31" s="52"/>
      <c r="H31" s="52"/>
      <c r="I31" s="52"/>
      <c r="J31" s="52"/>
      <c r="K31" s="52"/>
      <c r="L31" s="39">
        <v>2</v>
      </c>
    </row>
    <row r="32" spans="2:11" ht="15.75">
      <c r="B32" s="53" t="s">
        <v>55</v>
      </c>
      <c r="C32" s="53"/>
      <c r="D32" s="53"/>
      <c r="K32" s="50"/>
    </row>
  </sheetData>
  <sheetProtection/>
  <mergeCells count="22">
    <mergeCell ref="P25:W25"/>
    <mergeCell ref="E27:L27"/>
    <mergeCell ref="E28:K28"/>
    <mergeCell ref="E29:K29"/>
    <mergeCell ref="E31:K31"/>
    <mergeCell ref="B32:D32"/>
    <mergeCell ref="E22:L22"/>
    <mergeCell ref="E23:L23"/>
    <mergeCell ref="N23:O23"/>
    <mergeCell ref="P23:W23"/>
    <mergeCell ref="E24:L24"/>
    <mergeCell ref="P24:W24"/>
    <mergeCell ref="C2:R2"/>
    <mergeCell ref="AA3:AA7"/>
    <mergeCell ref="A5:A7"/>
    <mergeCell ref="B5:B7"/>
    <mergeCell ref="C5:W5"/>
    <mergeCell ref="X5:X7"/>
    <mergeCell ref="Y5:Y7"/>
    <mergeCell ref="Z5:Z7"/>
    <mergeCell ref="C6:C7"/>
    <mergeCell ref="D6:W6"/>
  </mergeCells>
  <printOptions/>
  <pageMargins left="0" right="0" top="0" bottom="0" header="0" footer="0"/>
  <pageSetup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User3</dc:creator>
  <cp:keywords/>
  <dc:description/>
  <cp:lastModifiedBy>User3</cp:lastModifiedBy>
  <dcterms:created xsi:type="dcterms:W3CDTF">2022-04-15T07:08:00Z</dcterms:created>
  <dcterms:modified xsi:type="dcterms:W3CDTF">2022-04-15T07:08:12Z</dcterms:modified>
  <cp:category/>
  <cp:version/>
  <cp:contentType/>
  <cp:contentStatus/>
</cp:coreProperties>
</file>