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75" windowHeight="9465" activeTab="0"/>
  </bookViews>
  <sheets>
    <sheet name="К.Мар,6" sheetId="1" r:id="rId1"/>
  </sheets>
  <externalReferences>
    <externalReference r:id="rId4"/>
    <externalReference r:id="rId5"/>
    <externalReference r:id="rId6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<sst xmlns="http://schemas.openxmlformats.org/spreadsheetml/2006/main" count="57" uniqueCount="57">
  <si>
    <t xml:space="preserve">                                                                         Л И Ц Е В О Й   С Ч Е Т</t>
  </si>
  <si>
    <t xml:space="preserve"> улица    Карла-Маркса,    дом   6</t>
  </si>
  <si>
    <t>Сводная  за 2021 год</t>
  </si>
  <si>
    <t>Задолженность на конец месяца по РКЦ</t>
  </si>
  <si>
    <t>ДОХОД</t>
  </si>
  <si>
    <t>РАСХОД</t>
  </si>
  <si>
    <t>Всего за тект. рем</t>
  </si>
  <si>
    <t>ИТОГ</t>
  </si>
  <si>
    <t>(+,-) за жителями</t>
  </si>
  <si>
    <t>Содержание</t>
  </si>
  <si>
    <t>в том числе содержание</t>
  </si>
  <si>
    <t>З/пл.</t>
  </si>
  <si>
    <t>Отчисления (налог)</t>
  </si>
  <si>
    <t>Электроэнергия (СОИ)</t>
  </si>
  <si>
    <t>ГСМ</t>
  </si>
  <si>
    <t>Материалы</t>
  </si>
  <si>
    <t>Услуги ЕРКЦ и банка</t>
  </si>
  <si>
    <t>прочие(комп.програм.,услуги со стороны</t>
  </si>
  <si>
    <t>отопление</t>
  </si>
  <si>
    <t>ХВС</t>
  </si>
  <si>
    <t>ЭС</t>
  </si>
  <si>
    <t>канализ</t>
  </si>
  <si>
    <t>кровля</t>
  </si>
  <si>
    <t>фасад</t>
  </si>
  <si>
    <t>пластиковые окна в подъезде</t>
  </si>
  <si>
    <t>подъезды</t>
  </si>
  <si>
    <t>дымоход</t>
  </si>
  <si>
    <t>энергоэффективность</t>
  </si>
  <si>
    <t>газораспределение</t>
  </si>
  <si>
    <t>благоуст</t>
  </si>
  <si>
    <t>прочие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</si>
  <si>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</si>
  <si>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</si>
  <si>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</si>
  <si>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</si>
  <si>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</si>
  <si>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</si>
  <si>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</si>
  <si>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</si>
  <si>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</si>
  <si>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</si>
  <si>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</si>
  <si>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</si>
  <si>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</si>
  <si>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с 01 июля     2021г.</t>
  </si>
  <si>
    <t>СОИ(эл.энергия) 2,44 руб./м2</t>
  </si>
  <si>
    <t>СОИ(     вода )               0,10 руб./м2</t>
  </si>
  <si>
    <t>Всего получено</t>
  </si>
  <si>
    <t>Всего израсходовано</t>
  </si>
  <si>
    <t xml:space="preserve">выполнено заявок    всего                  </t>
  </si>
  <si>
    <t>Тех. обслуживание УУТЭ</t>
  </si>
  <si>
    <t xml:space="preserve">в том числе                                  </t>
  </si>
  <si>
    <t xml:space="preserve">по водоснабжению                            </t>
  </si>
  <si>
    <t xml:space="preserve">по отоплению                                     </t>
  </si>
  <si>
    <t xml:space="preserve">по электроснабжению                         </t>
  </si>
  <si>
    <t>с01.10.21 г.</t>
  </si>
  <si>
    <t xml:space="preserve">по канализации                           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</si>
</sst>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&quot;р.&quot;_-;_-* \-#,##0.00\ &quot;р.&quot;;_-* &quot;-&quot;??\ &quot;р.&quot;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ylfae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u val="single"/>
      <sz val="10"/>
      <name val="Arial Cyr"/>
      <family val="0"/>
    </font>
    <font>
      <sz val="10"/>
      <name val="Arial Cyr"/>
      <family val="0"/>
    </font>
    <font>
      <sz val="11"/>
      <color indexed="8"/>
      <name val="Agency FB"/>
      <family val="2"/>
    </font>
    <font>
      <sz val="11"/>
      <color indexed="62"/>
      <name val="Agency FB"/>
      <family val="2"/>
    </font>
    <font>
      <b/>
      <sz val="11"/>
      <color indexed="52"/>
      <name val="Agency FB"/>
      <family val="2"/>
    </font>
    <font>
      <sz val="10"/>
      <name val="Calibri"/>
      <family val="1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28" borderId="1" applyNumberFormat="0" applyAlignment="0" applyProtection="0"/>
    <xf numFmtId="0" fontId="38" fillId="28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9" borderId="7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0" fillId="0" borderId="0">
      <alignment/>
      <protection/>
    </xf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31" fillId="32" borderId="8" applyNumberFormat="0" applyFont="0" applyAlignment="0" applyProtection="0"/>
    <xf numFmtId="9" fontId="3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1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0" fillId="34" borderId="2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6" xfId="0" applyFont="1" applyFill="1" applyBorder="1" applyAlignment="1">
      <alignment/>
    </xf>
    <xf numFmtId="0" fontId="19" fillId="0" borderId="16" xfId="0" applyFont="1" applyBorder="1" applyAlignment="1">
      <alignment/>
    </xf>
    <xf numFmtId="1" fontId="19" fillId="0" borderId="16" xfId="0" applyNumberFormat="1" applyFont="1" applyBorder="1" applyAlignment="1">
      <alignment/>
    </xf>
    <xf numFmtId="1" fontId="19" fillId="0" borderId="16" xfId="0" applyNumberFormat="1" applyFont="1" applyFill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9" fillId="0" borderId="0" xfId="0" applyFont="1" applyBorder="1" applyAlignment="1">
      <alignment/>
    </xf>
    <xf numFmtId="2" fontId="19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0" fontId="24" fillId="34" borderId="16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4" fillId="34" borderId="13" xfId="0" applyFont="1" applyFill="1" applyBorder="1" applyAlignment="1">
      <alignment horizontal="center"/>
    </xf>
    <xf numFmtId="0" fontId="24" fillId="34" borderId="14" xfId="0" applyFont="1" applyFill="1" applyBorder="1" applyAlignment="1">
      <alignment horizontal="center"/>
    </xf>
    <xf numFmtId="0" fontId="24" fillId="34" borderId="15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4" fillId="34" borderId="13" xfId="0" applyFont="1" applyFill="1" applyBorder="1" applyAlignment="1">
      <alignment horizontal="left"/>
    </xf>
    <xf numFmtId="0" fontId="24" fillId="34" borderId="14" xfId="0" applyFont="1" applyFill="1" applyBorder="1" applyAlignment="1">
      <alignment horizontal="left"/>
    </xf>
    <xf numFmtId="0" fontId="24" fillId="34" borderId="15" xfId="0" applyFont="1" applyFill="1" applyBorder="1" applyAlignment="1">
      <alignment horizontal="left"/>
    </xf>
    <xf numFmtId="2" fontId="23" fillId="0" borderId="0" xfId="0" applyNumberFormat="1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/>
    </xf>
    <xf numFmtId="0" fontId="23" fillId="0" borderId="0" xfId="0" applyFont="1" applyAlignment="1">
      <alignment horizontal="left"/>
    </xf>
    <xf numFmtId="0" fontId="24" fillId="34" borderId="16" xfId="0" applyFont="1" applyFill="1" applyBorder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2" fontId="22" fillId="0" borderId="0" xfId="0" applyNumberFormat="1" applyFon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99;&#1077;%20&#1089;&#1095;&#1077;&#1090;&#1072;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&#1056;&#1040;&#1057;&#1055;&#1056;&#1045;&#1044;&#1045;&#1051;&#1045;&#1053;&#1048;&#1045;%20&#1050;%20&#1051;&#1048;&#1062;&#1045;&#1042;&#1067;&#1052;%20&#1057;&#1063;&#1045;&#1058;&#1040;&#1052;\2020&#1075;\&#1051;&#1080;&#1094;&#1077;&#1074;&#1099;&#1077;%20&#1089;&#1095;&#1077;&#1090;&#1072;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76;&#1083;&#1103;%20&#1089;&#1090;&#1077;&#1085;&#1076;&#1072;%202021%20&#1051;&#1080;&#1094;%20&#1089;&#1095;&#1077;&#1090;%202%20&#1057;&#1086;&#1076;&#1077;&#1088;&#1078;.&#1058;&#1077;&#1082;.&#1088;&#1077;&#108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21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2А"/>
      <sheetName val="Кир 4"/>
      <sheetName val="Кир 8"/>
      <sheetName val="Кир 12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Шк 3"/>
      <sheetName val="Раб 40"/>
      <sheetName val="Раб 42"/>
      <sheetName val="Шк 1"/>
      <sheetName val="Шк 7"/>
      <sheetName val="Лен18"/>
      <sheetName val="Окт 29"/>
      <sheetName val="Димитр37"/>
      <sheetName val="Димитр23(1пол"/>
      <sheetName val="Димитр.23 2пол"/>
      <sheetName val="Окт 22"/>
    </sheetNames>
    <sheetDataSet>
      <sheetData sheetId="13">
        <row r="8">
          <cell r="L8">
            <v>20263.13</v>
          </cell>
          <cell r="Q8">
            <v>247.55701609845892</v>
          </cell>
          <cell r="R8">
            <v>166.1585908865291</v>
          </cell>
          <cell r="AE8">
            <v>172039.65</v>
          </cell>
        </row>
        <row r="9">
          <cell r="L9">
            <v>38844.01</v>
          </cell>
          <cell r="Q9">
            <v>158.78534586868753</v>
          </cell>
          <cell r="R9">
            <v>785.9110738950142</v>
          </cell>
          <cell r="AE9">
            <v>164840.47</v>
          </cell>
        </row>
        <row r="10">
          <cell r="L10">
            <v>37393.47</v>
          </cell>
          <cell r="Q10">
            <v>282.62945095617573</v>
          </cell>
          <cell r="AE10">
            <v>161492.59</v>
          </cell>
        </row>
        <row r="11">
          <cell r="L11">
            <v>22536.559999999998</v>
          </cell>
          <cell r="Q11">
            <v>247.3034201897109</v>
          </cell>
          <cell r="R11">
            <v>1412.9531894021409</v>
          </cell>
          <cell r="AE11">
            <v>170374.31</v>
          </cell>
        </row>
        <row r="12">
          <cell r="L12">
            <v>30359.23</v>
          </cell>
          <cell r="Q12">
            <v>329.99223654846537</v>
          </cell>
          <cell r="R12">
            <v>799.8384805149631</v>
          </cell>
          <cell r="AE12">
            <v>174081.63</v>
          </cell>
        </row>
        <row r="13">
          <cell r="L13">
            <v>27108.870000000003</v>
          </cell>
          <cell r="Q13">
            <v>312.1574276077433</v>
          </cell>
          <cell r="R13">
            <v>253.15500482680184</v>
          </cell>
          <cell r="AE13">
            <v>178391.04</v>
          </cell>
        </row>
        <row r="14">
          <cell r="L14">
            <v>32116.97</v>
          </cell>
          <cell r="Q14">
            <v>273.53568440923465</v>
          </cell>
          <cell r="R14">
            <v>633.1662295838007</v>
          </cell>
          <cell r="AE14">
            <v>177913.49</v>
          </cell>
        </row>
        <row r="15">
          <cell r="L15">
            <v>24550.100000000002</v>
          </cell>
          <cell r="Q15">
            <v>199.75185994067135</v>
          </cell>
          <cell r="AE15">
            <v>185015.65</v>
          </cell>
        </row>
        <row r="16">
          <cell r="L16">
            <v>46947.420000000006</v>
          </cell>
          <cell r="Q16">
            <v>313.2947302658063</v>
          </cell>
          <cell r="R16">
            <v>2047.8935907106536</v>
          </cell>
          <cell r="AE16">
            <v>172350.19</v>
          </cell>
        </row>
        <row r="17">
          <cell r="L17">
            <v>23107.58</v>
          </cell>
          <cell r="Q17">
            <v>276.66520618455974</v>
          </cell>
          <cell r="R17">
            <v>241.38330903647665</v>
          </cell>
          <cell r="AE17">
            <v>182201.27</v>
          </cell>
        </row>
        <row r="18">
          <cell r="L18">
            <v>26824.979999999996</v>
          </cell>
          <cell r="Q18">
            <v>195.7463892786374</v>
          </cell>
          <cell r="R18">
            <v>32.96229622884122</v>
          </cell>
          <cell r="AE18">
            <v>188358.39</v>
          </cell>
        </row>
        <row r="19">
          <cell r="L19">
            <v>30690.68</v>
          </cell>
          <cell r="Q19">
            <v>173.90111016442395</v>
          </cell>
          <cell r="AE19">
            <v>191177.71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20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4"/>
      <sheetName val="Кир 2А"/>
      <sheetName val="Кир 12"/>
      <sheetName val="Кир 8"/>
      <sheetName val="Кир 14"/>
      <sheetName val="Нефт 13"/>
      <sheetName val="Нефт 36А"/>
      <sheetName val="Нефт 38"/>
      <sheetName val="Окт 4"/>
      <sheetName val="Окт 7"/>
      <sheetName val="Нефт 1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Шк 3"/>
      <sheetName val="Раб 40"/>
      <sheetName val="Раб 42"/>
      <sheetName val="Шк 1"/>
      <sheetName val="Шк 7"/>
      <sheetName val="Лен18"/>
      <sheetName val="Окт 29"/>
      <sheetName val="Димитр37"/>
      <sheetName val="Димитр23(1пол"/>
      <sheetName val="Димитр.23 2пол"/>
      <sheetName val="Окт 22"/>
      <sheetName val="Дитр.23 2пол"/>
    </sheetNames>
    <sheetDataSet>
      <sheetData sheetId="13">
        <row r="8">
          <cell r="S8">
            <v>890.7377863934997</v>
          </cell>
        </row>
        <row r="9">
          <cell r="S9">
            <v>894.4341493299148</v>
          </cell>
        </row>
        <row r="10">
          <cell r="S10">
            <v>939.2328133360304</v>
          </cell>
        </row>
        <row r="11">
          <cell r="S11">
            <v>826.3956255105271</v>
          </cell>
        </row>
        <row r="12">
          <cell r="S12">
            <v>885.8973973180961</v>
          </cell>
        </row>
        <row r="13">
          <cell r="S13">
            <v>940.4358610271904</v>
          </cell>
        </row>
        <row r="14">
          <cell r="S14">
            <v>933.3481053532553</v>
          </cell>
        </row>
        <row r="15">
          <cell r="S15">
            <v>900.3521917197876</v>
          </cell>
        </row>
        <row r="16">
          <cell r="S16">
            <v>967.5104567287963</v>
          </cell>
        </row>
        <row r="17">
          <cell r="S17">
            <v>842.637831456678</v>
          </cell>
        </row>
        <row r="18">
          <cell r="S18">
            <v>889.1846622997464</v>
          </cell>
        </row>
        <row r="19">
          <cell r="S19">
            <v>1049.9289546749628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ц.счетСвод"/>
      <sheetName val="Дим8"/>
      <sheetName val="Дим12"/>
      <sheetName val="Дим14"/>
      <sheetName val="К.Марк,1"/>
      <sheetName val="К.Марк,2"/>
      <sheetName val="К.Мар,3"/>
      <sheetName val="К.Мар,4"/>
      <sheetName val="К.Мар,6"/>
      <sheetName val="К.Мар,5"/>
      <sheetName val="К.Мар,7"/>
      <sheetName val="К.Мар,8"/>
      <sheetName val="К.Марк,9"/>
      <sheetName val="К.Марк,11"/>
      <sheetName val="К.Марк,13"/>
      <sheetName val="К.Мар,15"/>
      <sheetName val="Кир,1."/>
      <sheetName val="Кир,2"/>
      <sheetName val="Кир.,4"/>
      <sheetName val="Кир.8"/>
      <sheetName val="Кир.,12"/>
      <sheetName val="Кир,14"/>
      <sheetName val="Нефтян,13"/>
      <sheetName val="Нефтян,17"/>
      <sheetName val="Нефтян,36"/>
      <sheetName val="Нефтян,38"/>
      <sheetName val="Октябр,4"/>
      <sheetName val="Октяб,7"/>
      <sheetName val="Октяб,9"/>
      <sheetName val="Октяб,8"/>
      <sheetName val="Октябр,10"/>
      <sheetName val="Октябр,11"/>
      <sheetName val="Октябр,12"/>
      <sheetName val="Октябр,13"/>
      <sheetName val="Октяб,14"/>
      <sheetName val="Октяб,15"/>
      <sheetName val="Октяб,16"/>
      <sheetName val="Октяб,17"/>
      <sheetName val="Октяб,19"/>
      <sheetName val="Раб,23"/>
      <sheetName val="Раб,25"/>
      <sheetName val="Раб,27"/>
      <sheetName val="Раб.36"/>
      <sheetName val="Раб,38"/>
      <sheetName val="Раб,40"/>
      <sheetName val="Раб,42"/>
      <sheetName val="Школьн,1"/>
      <sheetName val="Школьн,3"/>
      <sheetName val="Школьн,7"/>
      <sheetName val="Ленин,18"/>
      <sheetName val="Димитрова37"/>
      <sheetName val="Октябр29"/>
      <sheetName val="Димитр,23(1пол)"/>
      <sheetName val="Димитр23(2пол)"/>
      <sheetName val="Димитр,23общая"/>
      <sheetName val="Октябр22"/>
      <sheetName val="Лист1"/>
      <sheetName val="Лист4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15.7109375" style="0" customWidth="1"/>
    <col min="2" max="2" width="10.140625" style="0" customWidth="1"/>
    <col min="3" max="3" width="11.28125" style="0" customWidth="1"/>
    <col min="4" max="4" width="7.7109375" style="0" customWidth="1"/>
    <col min="5" max="5" width="6.7109375" style="0" customWidth="1"/>
    <col min="6" max="6" width="8.140625" style="0" customWidth="1"/>
    <col min="7" max="7" width="7.57421875" style="0" customWidth="1"/>
    <col min="8" max="8" width="8.8515625" style="0" customWidth="1"/>
    <col min="9" max="9" width="8.00390625" style="0" customWidth="1"/>
    <col min="10" max="10" width="6.57421875" style="0" customWidth="1"/>
    <col min="11" max="11" width="5.140625" style="0" customWidth="1"/>
    <col min="12" max="12" width="4.8515625" style="0" customWidth="1"/>
    <col min="13" max="13" width="6.28125" style="0" customWidth="1"/>
    <col min="14" max="14" width="4.421875" style="0" customWidth="1"/>
    <col min="15" max="15" width="4.28125" style="0" customWidth="1"/>
    <col min="16" max="16" width="6.140625" style="0" customWidth="1"/>
    <col min="17" max="17" width="5.8515625" style="0" customWidth="1"/>
    <col min="18" max="18" width="5.140625" style="0" customWidth="1"/>
    <col min="19" max="19" width="6.00390625" style="0" customWidth="1"/>
    <col min="20" max="20" width="6.28125" style="0" customWidth="1"/>
    <col min="21" max="21" width="5.8515625" style="0" customWidth="1"/>
    <col min="22" max="22" width="6.00390625" style="0" customWidth="1"/>
    <col min="23" max="23" width="5.421875" style="0" customWidth="1"/>
    <col min="24" max="24" width="8.00390625" style="0" customWidth="1"/>
    <col min="25" max="25" width="8.8515625" style="0" customWidth="1"/>
    <col min="27" max="27" width="10.00390625" style="0" customWidth="1"/>
  </cols>
  <sheetData>
    <row r="1" spans="1:12" ht="15">
      <c r="A1" s="1" t="s">
        <v>0</v>
      </c>
      <c r="L1" s="2"/>
    </row>
    <row r="2" spans="1:15" ht="14.25">
      <c r="A2" s="2"/>
      <c r="B2">
        <f>2217.8+118.2</f>
        <v>2336</v>
      </c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27" ht="12.75">
      <c r="B3" s="2"/>
      <c r="C3" s="2" t="s">
        <v>2</v>
      </c>
      <c r="D3" s="2"/>
      <c r="E3" s="2"/>
      <c r="F3" s="2"/>
      <c r="G3" s="2"/>
      <c r="H3" s="2"/>
      <c r="I3" s="2"/>
      <c r="J3" s="2"/>
      <c r="AA3" s="4" t="s">
        <v>3</v>
      </c>
    </row>
    <row r="4" ht="12.75">
      <c r="AA4" s="5"/>
    </row>
    <row r="5" spans="1:27" ht="12.75" customHeight="1">
      <c r="A5" s="6">
        <v>2021</v>
      </c>
      <c r="B5" s="6" t="s">
        <v>4</v>
      </c>
      <c r="C5" s="7" t="s">
        <v>5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9"/>
      <c r="X5" s="4" t="s">
        <v>6</v>
      </c>
      <c r="Y5" s="4" t="s">
        <v>7</v>
      </c>
      <c r="Z5" s="10" t="s">
        <v>8</v>
      </c>
      <c r="AA5" s="5"/>
    </row>
    <row r="6" spans="1:27" ht="12.75">
      <c r="A6" s="11"/>
      <c r="B6" s="11"/>
      <c r="C6" s="12" t="s">
        <v>9</v>
      </c>
      <c r="D6" s="13" t="s">
        <v>10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9"/>
      <c r="X6" s="14"/>
      <c r="Y6" s="14"/>
      <c r="Z6" s="10"/>
      <c r="AA6" s="5"/>
    </row>
    <row r="7" spans="1:27" ht="102">
      <c r="A7" s="15"/>
      <c r="B7" s="15"/>
      <c r="C7" s="16"/>
      <c r="D7" s="17" t="s">
        <v>11</v>
      </c>
      <c r="E7" s="17" t="s">
        <v>12</v>
      </c>
      <c r="F7" s="17" t="s">
        <v>13</v>
      </c>
      <c r="G7" s="17" t="s">
        <v>14</v>
      </c>
      <c r="H7" s="17" t="s">
        <v>15</v>
      </c>
      <c r="I7" s="17" t="s">
        <v>16</v>
      </c>
      <c r="J7" s="17" t="s">
        <v>17</v>
      </c>
      <c r="K7" s="18" t="s">
        <v>18</v>
      </c>
      <c r="L7" s="19" t="s">
        <v>19</v>
      </c>
      <c r="M7" s="19" t="s">
        <v>20</v>
      </c>
      <c r="N7" s="20" t="s">
        <v>21</v>
      </c>
      <c r="O7" s="18" t="s">
        <v>22</v>
      </c>
      <c r="P7" s="19" t="s">
        <v>23</v>
      </c>
      <c r="Q7" s="18" t="s">
        <v>24</v>
      </c>
      <c r="R7" s="18" t="s">
        <v>25</v>
      </c>
      <c r="S7" s="18" t="s">
        <v>26</v>
      </c>
      <c r="T7" s="18" t="s">
        <v>27</v>
      </c>
      <c r="U7" s="18" t="s">
        <v>28</v>
      </c>
      <c r="V7" s="18" t="s">
        <v>29</v>
      </c>
      <c r="W7" s="18" t="s">
        <v>30</v>
      </c>
      <c r="X7" s="21"/>
      <c r="Y7" s="21"/>
      <c r="Z7" s="10"/>
      <c r="AA7" s="22"/>
    </row>
    <row r="8" spans="1:27" ht="19.5" customHeight="1">
      <c r="A8" s="23" t="s">
        <v>31</v>
      </c>
      <c r="B8" s="24">
        <f>'[1]КМар 6'!$L$8</f>
        <v>20263.13</v>
      </c>
      <c r="C8" s="24">
        <f>8.3*2217.8+7.4*118.2+(2.35+0.09)*B2</f>
        <v>24982.260000000002</v>
      </c>
      <c r="D8" s="25">
        <f>C8*60/100</f>
        <v>14989.356000000002</v>
      </c>
      <c r="E8" s="25">
        <f>D8*28/100</f>
        <v>4197.01968</v>
      </c>
      <c r="F8" s="24">
        <v>4151.04</v>
      </c>
      <c r="G8" s="24">
        <f>'[1]КМар 6'!$Q8</f>
        <v>247.55701609845892</v>
      </c>
      <c r="H8" s="24">
        <f>'[1]КМар 6'!$R8</f>
        <v>166.1585908865291</v>
      </c>
      <c r="I8" s="24">
        <f>'[2]КМар 6'!$S8</f>
        <v>890.7377863934997</v>
      </c>
      <c r="J8" s="25">
        <f>C8-(D8+E8+F8+G8+H8+I8)</f>
        <v>340.3909266215087</v>
      </c>
      <c r="K8" s="23"/>
      <c r="L8" s="23">
        <v>134.83</v>
      </c>
      <c r="M8" s="26"/>
      <c r="N8" s="26"/>
      <c r="O8" s="27"/>
      <c r="P8" s="27"/>
      <c r="Q8" s="27"/>
      <c r="R8" s="27"/>
      <c r="S8" s="27"/>
      <c r="T8" s="27"/>
      <c r="U8" s="27"/>
      <c r="V8" s="27"/>
      <c r="X8" s="23">
        <f>SUM(K8:W8)</f>
        <v>134.83</v>
      </c>
      <c r="Y8" s="24">
        <f>C8+X8</f>
        <v>25117.090000000004</v>
      </c>
      <c r="Z8" s="24">
        <f>B8-C8-X8</f>
        <v>-4853.960000000001</v>
      </c>
      <c r="AA8" s="23">
        <f>'[1]КМар 6'!$AE$8</f>
        <v>172039.65</v>
      </c>
    </row>
    <row r="9" spans="1:27" ht="19.5" customHeight="1">
      <c r="A9" s="23" t="s">
        <v>32</v>
      </c>
      <c r="B9" s="24">
        <f>'[1]КМар 6'!$L$9</f>
        <v>38844.01</v>
      </c>
      <c r="C9" s="24">
        <f>8.3*2217.8+7.4*118.2+(2.35+0.09)*B2</f>
        <v>24982.260000000002</v>
      </c>
      <c r="D9" s="25">
        <f aca="true" t="shared" si="0" ref="D9:D19">C9*60/100</f>
        <v>14989.356000000002</v>
      </c>
      <c r="E9" s="25">
        <f aca="true" t="shared" si="1" ref="E9:E20">D9*28/100</f>
        <v>4197.01968</v>
      </c>
      <c r="F9" s="24">
        <v>3094.88</v>
      </c>
      <c r="G9" s="24">
        <f>'[1]КМар 6'!$Q9</f>
        <v>158.78534586868753</v>
      </c>
      <c r="H9" s="24">
        <f>'[1]КМар 6'!$R9</f>
        <v>785.9110738950142</v>
      </c>
      <c r="I9" s="24">
        <f>'[2]КМар 6'!$S9</f>
        <v>894.4341493299148</v>
      </c>
      <c r="J9" s="25">
        <f aca="true" t="shared" si="2" ref="J9:J19">C9-(D9+E9+F9+G9+H9+I9)</f>
        <v>861.8737509063831</v>
      </c>
      <c r="K9" s="23"/>
      <c r="L9" s="23">
        <v>134.83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27">
        <f>499</f>
        <v>499</v>
      </c>
      <c r="X9" s="23">
        <f aca="true" t="shared" si="3" ref="X9:X19">K9+L9+M9+N9+O9+P9+V9+W9+R9+S9</f>
        <v>633.83</v>
      </c>
      <c r="Y9" s="24">
        <f aca="true" t="shared" si="4" ref="Y9:Y19">C9+X9</f>
        <v>25616.090000000004</v>
      </c>
      <c r="Z9" s="24">
        <f aca="true" t="shared" si="5" ref="Z9:Z19">B9-C9-X9</f>
        <v>13227.92</v>
      </c>
      <c r="AA9" s="23">
        <f>'[1]КМар 6'!$AE$9</f>
        <v>164840.47</v>
      </c>
    </row>
    <row r="10" spans="1:27" ht="19.5" customHeight="1">
      <c r="A10" s="23" t="s">
        <v>33</v>
      </c>
      <c r="B10" s="24">
        <f>'[1]КМар 6'!$L$10</f>
        <v>37393.47</v>
      </c>
      <c r="C10" s="24">
        <f>8.3*2217.8+7.4*118.2+(2.35+0.09)*B2</f>
        <v>24982.260000000002</v>
      </c>
      <c r="D10" s="25">
        <f t="shared" si="0"/>
        <v>14989.356000000002</v>
      </c>
      <c r="E10" s="25">
        <f t="shared" si="1"/>
        <v>4197.01968</v>
      </c>
      <c r="F10" s="24">
        <v>3323.04</v>
      </c>
      <c r="G10" s="24">
        <f>'[1]КМар 6'!$Q10</f>
        <v>282.62945095617573</v>
      </c>
      <c r="H10" s="24">
        <v>860.85</v>
      </c>
      <c r="I10" s="24">
        <f>'[2]КМар 6'!$S10</f>
        <v>939.2328133360304</v>
      </c>
      <c r="J10" s="25">
        <f t="shared" si="2"/>
        <v>390.1320557077961</v>
      </c>
      <c r="K10" s="23"/>
      <c r="L10" s="23">
        <v>134.83</v>
      </c>
      <c r="M10" s="27">
        <v>1341</v>
      </c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3">
        <f t="shared" si="3"/>
        <v>1475.83</v>
      </c>
      <c r="Y10" s="24">
        <f t="shared" si="4"/>
        <v>26458.090000000004</v>
      </c>
      <c r="Z10" s="24">
        <f t="shared" si="5"/>
        <v>10935.38</v>
      </c>
      <c r="AA10" s="24">
        <f>'[1]КМар 6'!$AE$10</f>
        <v>161492.59</v>
      </c>
    </row>
    <row r="11" spans="1:27" ht="19.5" customHeight="1">
      <c r="A11" s="23" t="s">
        <v>34</v>
      </c>
      <c r="B11" s="24">
        <f>'[1]КМар 6'!$L$11</f>
        <v>22536.559999999998</v>
      </c>
      <c r="C11" s="24">
        <f>8.3*2217.8+7.4*118.2+(2.35+0.09)*B2</f>
        <v>24982.260000000002</v>
      </c>
      <c r="D11" s="25">
        <f t="shared" si="0"/>
        <v>14989.356000000002</v>
      </c>
      <c r="E11" s="25">
        <f t="shared" si="1"/>
        <v>4197.01968</v>
      </c>
      <c r="F11" s="24">
        <v>0</v>
      </c>
      <c r="G11" s="24">
        <f>'[1]КМар 6'!$Q11</f>
        <v>247.3034201897109</v>
      </c>
      <c r="H11" s="24">
        <f>'[1]КМар 6'!$R11</f>
        <v>1412.9531894021409</v>
      </c>
      <c r="I11" s="24">
        <f>'[2]КМар 6'!$S11</f>
        <v>826.3956255105271</v>
      </c>
      <c r="J11" s="25">
        <f t="shared" si="2"/>
        <v>3309.2320848976233</v>
      </c>
      <c r="K11" s="23"/>
      <c r="L11" s="23">
        <v>134.83</v>
      </c>
      <c r="M11" s="27">
        <v>1006</v>
      </c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3">
        <f t="shared" si="3"/>
        <v>1140.83</v>
      </c>
      <c r="Y11" s="24">
        <f t="shared" si="4"/>
        <v>26123.090000000004</v>
      </c>
      <c r="Z11" s="24">
        <f t="shared" si="5"/>
        <v>-3586.5300000000043</v>
      </c>
      <c r="AA11" s="24">
        <f>'[1]КМар 6'!$AE$11</f>
        <v>170374.31</v>
      </c>
    </row>
    <row r="12" spans="1:27" ht="19.5" customHeight="1">
      <c r="A12" s="23" t="s">
        <v>35</v>
      </c>
      <c r="B12" s="24">
        <f>'[1]КМар 6'!$L$12</f>
        <v>30359.23</v>
      </c>
      <c r="C12" s="24">
        <f>8.3*2217.8+7.4*118.2+(2.35+0.09)*B2</f>
        <v>24982.260000000002</v>
      </c>
      <c r="D12" s="25">
        <f t="shared" si="0"/>
        <v>14989.356000000002</v>
      </c>
      <c r="E12" s="25">
        <f t="shared" si="1"/>
        <v>4197.01968</v>
      </c>
      <c r="F12" s="24">
        <v>1475.68</v>
      </c>
      <c r="G12" s="24">
        <f>'[1]КМар 6'!$Q12</f>
        <v>329.99223654846537</v>
      </c>
      <c r="H12" s="24">
        <f>'[1]КМар 6'!$R12</f>
        <v>799.8384805149631</v>
      </c>
      <c r="I12" s="24">
        <f>'[2]КМар 6'!$S12</f>
        <v>885.8973973180961</v>
      </c>
      <c r="J12" s="25">
        <f t="shared" si="2"/>
        <v>2304.476205618481</v>
      </c>
      <c r="K12" s="23"/>
      <c r="L12" s="23">
        <v>134.83</v>
      </c>
      <c r="M12" s="27">
        <v>1867</v>
      </c>
      <c r="N12" s="27"/>
      <c r="O12" s="27"/>
      <c r="P12" s="27"/>
      <c r="Q12" s="27"/>
      <c r="R12" s="27"/>
      <c r="S12" s="27">
        <v>3090</v>
      </c>
      <c r="T12" s="27"/>
      <c r="U12" s="27"/>
      <c r="V12" s="27"/>
      <c r="W12" s="27"/>
      <c r="X12" s="23">
        <f>K12+L12+M12+N12+O12+P12+V12+R12+S12</f>
        <v>5091.83</v>
      </c>
      <c r="Y12" s="24">
        <f t="shared" si="4"/>
        <v>30074.090000000004</v>
      </c>
      <c r="Z12" s="24">
        <f t="shared" si="5"/>
        <v>285.1399999999976</v>
      </c>
      <c r="AA12" s="24">
        <f>'[1]КМар 6'!$AE$12</f>
        <v>174081.63</v>
      </c>
    </row>
    <row r="13" spans="1:27" ht="19.5" customHeight="1">
      <c r="A13" s="23" t="s">
        <v>36</v>
      </c>
      <c r="B13" s="24">
        <f>'[1]КМар 6'!$L$13</f>
        <v>27108.870000000003</v>
      </c>
      <c r="C13" s="24">
        <f>8.3*2217.8+7.4*118.2+(2.35+0.09)*B2</f>
        <v>24982.260000000002</v>
      </c>
      <c r="D13" s="25">
        <f t="shared" si="0"/>
        <v>14989.356000000002</v>
      </c>
      <c r="E13" s="25">
        <f t="shared" si="1"/>
        <v>4197.01968</v>
      </c>
      <c r="F13" s="24">
        <v>0</v>
      </c>
      <c r="G13" s="24">
        <f>'[1]КМар 6'!$Q13</f>
        <v>312.1574276077433</v>
      </c>
      <c r="H13" s="24">
        <f>'[1]КМар 6'!$R13</f>
        <v>253.15500482680184</v>
      </c>
      <c r="I13" s="24">
        <f>'[2]КМар 6'!$S13</f>
        <v>940.4358610271904</v>
      </c>
      <c r="J13" s="25">
        <f t="shared" si="2"/>
        <v>4290.136026538261</v>
      </c>
      <c r="K13" s="23"/>
      <c r="L13" s="23">
        <v>134.83</v>
      </c>
      <c r="M13" s="27">
        <v>1006</v>
      </c>
      <c r="N13" s="27"/>
      <c r="O13" s="27"/>
      <c r="P13" s="27"/>
      <c r="Q13" s="27"/>
      <c r="R13" s="28"/>
      <c r="S13" s="27"/>
      <c r="T13" s="27"/>
      <c r="U13" s="27"/>
      <c r="V13" s="27"/>
      <c r="W13" s="27"/>
      <c r="X13" s="23">
        <f t="shared" si="3"/>
        <v>1140.83</v>
      </c>
      <c r="Y13" s="24">
        <f t="shared" si="4"/>
        <v>26123.090000000004</v>
      </c>
      <c r="Z13" s="24">
        <f t="shared" si="5"/>
        <v>985.7800000000007</v>
      </c>
      <c r="AA13" s="24">
        <f>'[1]КМар 6'!$AE$13</f>
        <v>178391.04</v>
      </c>
    </row>
    <row r="14" spans="1:27" ht="19.5" customHeight="1">
      <c r="A14" s="23" t="s">
        <v>37</v>
      </c>
      <c r="B14" s="24">
        <f>'[1]КМар 6'!$L$14</f>
        <v>32116.97</v>
      </c>
      <c r="C14" s="24">
        <f>8.3*2217.8+7.4*118.2+(2.44+0.1)*B2</f>
        <v>25215.86</v>
      </c>
      <c r="D14" s="25">
        <f t="shared" si="0"/>
        <v>15129.516000000001</v>
      </c>
      <c r="E14" s="25">
        <f t="shared" si="1"/>
        <v>4236.264480000001</v>
      </c>
      <c r="F14" s="24">
        <v>0</v>
      </c>
      <c r="G14" s="24">
        <f>'[1]КМар 6'!$Q14</f>
        <v>273.53568440923465</v>
      </c>
      <c r="H14" s="24">
        <f>'[1]КМар 6'!$R14</f>
        <v>633.1662295838007</v>
      </c>
      <c r="I14" s="24">
        <f>'[2]КМар 6'!$S14</f>
        <v>933.3481053532553</v>
      </c>
      <c r="J14" s="25">
        <f t="shared" si="2"/>
        <v>4010.029500653709</v>
      </c>
      <c r="K14" s="23"/>
      <c r="L14" s="23">
        <v>134.83</v>
      </c>
      <c r="M14" s="27">
        <v>1006</v>
      </c>
      <c r="N14" s="27"/>
      <c r="O14" s="27"/>
      <c r="P14" s="27"/>
      <c r="Q14" s="27"/>
      <c r="R14" s="27"/>
      <c r="S14" s="27"/>
      <c r="T14" s="27"/>
      <c r="U14" s="27">
        <v>2950</v>
      </c>
      <c r="V14" s="27">
        <v>6058</v>
      </c>
      <c r="W14" s="27"/>
      <c r="X14" s="23">
        <f>K14+L14+M14+N14+O14+P14+V14+W14+R14+S14+T14+U14</f>
        <v>10148.83</v>
      </c>
      <c r="Y14" s="24">
        <f t="shared" si="4"/>
        <v>35364.69</v>
      </c>
      <c r="Z14" s="24">
        <f t="shared" si="5"/>
        <v>-3247.7199999999993</v>
      </c>
      <c r="AA14" s="24">
        <f>'[1]КМар 6'!$AE$14</f>
        <v>177913.49</v>
      </c>
    </row>
    <row r="15" spans="1:27" ht="19.5" customHeight="1">
      <c r="A15" s="23" t="s">
        <v>38</v>
      </c>
      <c r="B15" s="24">
        <f>'[1]КМар 6'!$L$15</f>
        <v>24550.100000000002</v>
      </c>
      <c r="C15" s="24">
        <f>8.3*2217.8+7.4*118.2+(2.44+0.1)*B2</f>
        <v>25215.86</v>
      </c>
      <c r="D15" s="25">
        <f t="shared" si="0"/>
        <v>15129.516000000001</v>
      </c>
      <c r="E15" s="25">
        <f t="shared" si="1"/>
        <v>4236.264480000001</v>
      </c>
      <c r="F15" s="24">
        <v>2405.24</v>
      </c>
      <c r="G15" s="24">
        <f>'[1]КМар 6'!$Q15</f>
        <v>199.75185994067135</v>
      </c>
      <c r="H15" s="24">
        <v>2140.29</v>
      </c>
      <c r="I15" s="24">
        <f>'[2]КМар 6'!$S15</f>
        <v>900.3521917197876</v>
      </c>
      <c r="J15" s="25">
        <f t="shared" si="2"/>
        <v>204.44546833954155</v>
      </c>
      <c r="K15" s="23"/>
      <c r="L15" s="23">
        <v>134.83</v>
      </c>
      <c r="M15" s="27">
        <v>1006</v>
      </c>
      <c r="N15" s="27"/>
      <c r="O15" s="27"/>
      <c r="P15" s="27">
        <f>14368+12069+8000</f>
        <v>34437</v>
      </c>
      <c r="Q15" s="27"/>
      <c r="R15" s="27"/>
      <c r="S15" s="27"/>
      <c r="T15" s="27"/>
      <c r="U15" s="27">
        <v>2950</v>
      </c>
      <c r="V15" s="27"/>
      <c r="W15" s="27"/>
      <c r="X15" s="23">
        <f>K15+L15+M15+N15+O15+P15+V15+W15+R15+S15+T15+U15</f>
        <v>38527.83</v>
      </c>
      <c r="Y15" s="24">
        <f t="shared" si="4"/>
        <v>63743.69</v>
      </c>
      <c r="Z15" s="24">
        <f t="shared" si="5"/>
        <v>-39193.59</v>
      </c>
      <c r="AA15" s="24">
        <f>'[1]КМар 6'!$AE$15</f>
        <v>185015.65</v>
      </c>
    </row>
    <row r="16" spans="1:27" ht="19.5" customHeight="1">
      <c r="A16" s="23" t="s">
        <v>39</v>
      </c>
      <c r="B16" s="24">
        <f>'[1]КМар 6'!$L$16</f>
        <v>46947.420000000006</v>
      </c>
      <c r="C16" s="24">
        <f>8.3*2217.8+7.4*118.2+(2.44+0.1)*B2</f>
        <v>25215.86</v>
      </c>
      <c r="D16" s="25">
        <f t="shared" si="0"/>
        <v>15129.516000000001</v>
      </c>
      <c r="E16" s="25">
        <f t="shared" si="1"/>
        <v>4236.264480000001</v>
      </c>
      <c r="F16" s="24">
        <v>1995.43</v>
      </c>
      <c r="G16" s="24">
        <f>'[1]КМар 6'!$Q16</f>
        <v>313.2947302658063</v>
      </c>
      <c r="H16" s="24">
        <f>'[1]КМар 6'!$R16</f>
        <v>2047.8935907106536</v>
      </c>
      <c r="I16" s="24">
        <f>'[2]КМар 6'!$S16</f>
        <v>967.5104567287963</v>
      </c>
      <c r="J16" s="25">
        <f t="shared" si="2"/>
        <v>525.9507422947427</v>
      </c>
      <c r="K16" s="23"/>
      <c r="L16" s="23">
        <v>134.83</v>
      </c>
      <c r="M16" s="27">
        <v>1293</v>
      </c>
      <c r="N16" s="27"/>
      <c r="O16" s="27"/>
      <c r="P16" s="27"/>
      <c r="Q16" s="27"/>
      <c r="R16" s="27"/>
      <c r="S16" s="27"/>
      <c r="T16" s="27"/>
      <c r="U16" s="27"/>
      <c r="V16" s="27">
        <f>4597+1000</f>
        <v>5597</v>
      </c>
      <c r="W16" s="27"/>
      <c r="X16" s="23">
        <f t="shared" si="3"/>
        <v>7024.83</v>
      </c>
      <c r="Y16" s="24">
        <f t="shared" si="4"/>
        <v>32240.690000000002</v>
      </c>
      <c r="Z16" s="24">
        <f t="shared" si="5"/>
        <v>14706.730000000005</v>
      </c>
      <c r="AA16" s="24">
        <f>'[1]КМар 6'!$AE$16</f>
        <v>172350.19</v>
      </c>
    </row>
    <row r="17" spans="1:27" ht="19.5" customHeight="1">
      <c r="A17" s="23" t="s">
        <v>40</v>
      </c>
      <c r="B17" s="24">
        <f>'[1]КМар 6'!$L$17</f>
        <v>23107.58</v>
      </c>
      <c r="C17" s="24">
        <f>8.72*2217.8+7.78*118.2+(2.44+0.1)*B2</f>
        <v>26192.252000000008</v>
      </c>
      <c r="D17" s="25">
        <f t="shared" si="0"/>
        <v>15715.351200000006</v>
      </c>
      <c r="E17" s="25">
        <f t="shared" si="1"/>
        <v>4400.298336000002</v>
      </c>
      <c r="F17" s="24">
        <v>3852.98</v>
      </c>
      <c r="G17" s="24">
        <f>'[1]КМар 6'!$Q17</f>
        <v>276.66520618455974</v>
      </c>
      <c r="H17" s="24">
        <f>'[1]КМар 6'!$R17</f>
        <v>241.38330903647665</v>
      </c>
      <c r="I17" s="24">
        <f>'[2]КМар 6'!$S17</f>
        <v>842.637831456678</v>
      </c>
      <c r="J17" s="25">
        <f t="shared" si="2"/>
        <v>862.936117322286</v>
      </c>
      <c r="K17" s="23"/>
      <c r="L17" s="23">
        <v>134.83</v>
      </c>
      <c r="M17" s="27">
        <v>1148</v>
      </c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3">
        <f t="shared" si="3"/>
        <v>1282.83</v>
      </c>
      <c r="Y17" s="24">
        <f t="shared" si="4"/>
        <v>27475.08200000001</v>
      </c>
      <c r="Z17" s="24">
        <f t="shared" si="5"/>
        <v>-4367.502000000006</v>
      </c>
      <c r="AA17" s="24">
        <f>'[1]КМар 6'!$AE$17</f>
        <v>182201.27</v>
      </c>
    </row>
    <row r="18" spans="1:27" ht="19.5" customHeight="1">
      <c r="A18" s="23" t="s">
        <v>41</v>
      </c>
      <c r="B18" s="24">
        <f>'[1]КМар 6'!$L$18</f>
        <v>26824.979999999996</v>
      </c>
      <c r="C18" s="24">
        <f>8.72*2217.8+7.78*118.2+(2.44+0.1)*B2</f>
        <v>26192.252000000008</v>
      </c>
      <c r="D18" s="25">
        <f t="shared" si="0"/>
        <v>15715.351200000006</v>
      </c>
      <c r="E18" s="25">
        <f t="shared" si="1"/>
        <v>4400.298336000002</v>
      </c>
      <c r="F18" s="24">
        <v>2711.64</v>
      </c>
      <c r="G18" s="24">
        <f>'[1]КМар 6'!$Q18</f>
        <v>195.7463892786374</v>
      </c>
      <c r="H18" s="24">
        <f>'[1]КМар 6'!$R18</f>
        <v>32.96229622884122</v>
      </c>
      <c r="I18" s="24">
        <f>'[2]КМар 6'!$S18</f>
        <v>889.1846622997464</v>
      </c>
      <c r="J18" s="25">
        <f t="shared" si="2"/>
        <v>2247.0691161927753</v>
      </c>
      <c r="K18" s="23"/>
      <c r="L18" s="23">
        <v>134.83</v>
      </c>
      <c r="M18" s="27">
        <v>1148</v>
      </c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3">
        <f t="shared" si="3"/>
        <v>1282.83</v>
      </c>
      <c r="Y18" s="24">
        <f t="shared" si="4"/>
        <v>27475.08200000001</v>
      </c>
      <c r="Z18" s="24">
        <f t="shared" si="5"/>
        <v>-650.1020000000117</v>
      </c>
      <c r="AA18" s="24">
        <f>'[1]КМар 6'!$AE$18</f>
        <v>188358.39</v>
      </c>
    </row>
    <row r="19" spans="1:27" ht="19.5" customHeight="1">
      <c r="A19" s="23" t="s">
        <v>42</v>
      </c>
      <c r="B19" s="24">
        <f>'[1]КМар 6'!$L$19</f>
        <v>30690.68</v>
      </c>
      <c r="C19" s="24">
        <f>8.72*2217.8+7.78*118.2+(2.44+0.1)*B2</f>
        <v>26192.252000000008</v>
      </c>
      <c r="D19" s="25">
        <f t="shared" si="0"/>
        <v>15715.351200000006</v>
      </c>
      <c r="E19" s="25">
        <f t="shared" si="1"/>
        <v>4400.298336000002</v>
      </c>
      <c r="F19" s="24">
        <v>4094.27</v>
      </c>
      <c r="G19" s="24">
        <f>'[1]КМар 6'!$Q19</f>
        <v>173.90111016442395</v>
      </c>
      <c r="H19" s="24">
        <v>564.68</v>
      </c>
      <c r="I19" s="24">
        <f>'[2]КМар 6'!$S19</f>
        <v>1049.9289546749628</v>
      </c>
      <c r="J19" s="25">
        <f t="shared" si="2"/>
        <v>193.82239916061008</v>
      </c>
      <c r="K19" s="23"/>
      <c r="L19" s="23">
        <v>134.83</v>
      </c>
      <c r="M19" s="27">
        <v>1722</v>
      </c>
      <c r="N19" s="27"/>
      <c r="O19" s="27"/>
      <c r="P19" s="27"/>
      <c r="Q19" s="27"/>
      <c r="R19" s="27"/>
      <c r="S19" s="27"/>
      <c r="T19" s="27">
        <v>9000</v>
      </c>
      <c r="U19" s="27"/>
      <c r="V19" s="27"/>
      <c r="W19" s="27">
        <f>1724+3831</f>
        <v>5555</v>
      </c>
      <c r="X19" s="23">
        <f t="shared" si="3"/>
        <v>7411.83</v>
      </c>
      <c r="Y19" s="24">
        <f t="shared" si="4"/>
        <v>33604.08200000001</v>
      </c>
      <c r="Z19" s="24">
        <f t="shared" si="5"/>
        <v>-2913.4020000000073</v>
      </c>
      <c r="AA19" s="24">
        <f>'[1]КМар 6'!$AE$19</f>
        <v>191177.71</v>
      </c>
    </row>
    <row r="20" spans="1:27" ht="19.5" customHeight="1">
      <c r="A20" s="29" t="s">
        <v>43</v>
      </c>
      <c r="B20" s="29">
        <f>B8+B9+B10+B11+B12+B13+B14+B15+B16+B17+B18+B19</f>
        <v>360743</v>
      </c>
      <c r="C20" s="30">
        <f>C8+C9+C10+C11+C12+C13+C14+C15+C16+C17+C18+C19</f>
        <v>304117.89600000007</v>
      </c>
      <c r="D20" s="31">
        <f>SUM(D8:D19)</f>
        <v>182470.73760000002</v>
      </c>
      <c r="E20" s="31">
        <f t="shared" si="1"/>
        <v>51091.806528</v>
      </c>
      <c r="F20" s="31">
        <f>SUM(F8:F19)</f>
        <v>27104.199999999997</v>
      </c>
      <c r="G20" s="31">
        <f>SUM(G8:G19)</f>
        <v>3011.319877512575</v>
      </c>
      <c r="H20" s="31">
        <f>SUM(H8:H19)</f>
        <v>9939.241765085222</v>
      </c>
      <c r="I20" s="31">
        <f>SUM(I8:I19)</f>
        <v>10960.095835148482</v>
      </c>
      <c r="J20" s="31">
        <f>SUM(J8:J19)</f>
        <v>19540.494394253717</v>
      </c>
      <c r="K20" s="29">
        <f aca="true" t="shared" si="6" ref="K20:Q20">K8+K9+K10+K11+K12+K13+K14+K15+K16+K17+K18+K19</f>
        <v>0</v>
      </c>
      <c r="L20" s="30">
        <f t="shared" si="6"/>
        <v>1617.9599999999998</v>
      </c>
      <c r="M20" s="29">
        <f t="shared" si="6"/>
        <v>12543</v>
      </c>
      <c r="N20" s="29">
        <f t="shared" si="6"/>
        <v>0</v>
      </c>
      <c r="O20" s="29">
        <f t="shared" si="6"/>
        <v>0</v>
      </c>
      <c r="P20" s="29">
        <f t="shared" si="6"/>
        <v>34437</v>
      </c>
      <c r="Q20" s="29">
        <f t="shared" si="6"/>
        <v>0</v>
      </c>
      <c r="R20" s="29">
        <f>R8+R9+R10+R11+R12+R13+R14+R15+R16+R17+R18+R19</f>
        <v>0</v>
      </c>
      <c r="S20" s="29">
        <f>S8+S9+S10+S11+S12+S13+S14+S15+S16+S17+S18+S19</f>
        <v>3090</v>
      </c>
      <c r="T20" s="29">
        <f>T8+T9+T10+T11+T12+T13+T14+T15+T16+T17+T18+T19</f>
        <v>9000</v>
      </c>
      <c r="U20" s="29">
        <f>SUM(U8:U19)</f>
        <v>5900</v>
      </c>
      <c r="V20" s="29">
        <f>V8+V9+V10+V11+V12+V13+V14+V15+V16+V17+V18+V19</f>
        <v>11655</v>
      </c>
      <c r="W20" s="29">
        <f>W12+W9+W10+W11+W13+W14+W15+W16+W17+W18+W19</f>
        <v>6054</v>
      </c>
      <c r="X20" s="25">
        <f>K20+L20+M20+N20+O20+P20+V20+W20+R20+S20+T20+U20</f>
        <v>84296.95999999999</v>
      </c>
      <c r="Y20" s="25">
        <f>C20+X20</f>
        <v>388414.856</v>
      </c>
      <c r="Z20" s="25">
        <f>B20-C20-X20</f>
        <v>-27671.856000000058</v>
      </c>
      <c r="AA20" s="23"/>
    </row>
    <row r="21" spans="4:10" ht="12.75">
      <c r="D21" s="32"/>
      <c r="E21" s="32"/>
      <c r="F21" s="32"/>
      <c r="G21" s="32"/>
      <c r="H21" s="32"/>
      <c r="I21" s="32"/>
      <c r="J21" s="32"/>
    </row>
    <row r="22" spans="1:25" ht="12.75">
      <c r="A22" s="2"/>
      <c r="B22" s="33"/>
      <c r="E22" s="34"/>
      <c r="F22" s="34"/>
      <c r="G22" s="34"/>
      <c r="H22" s="35" t="s">
        <v>44</v>
      </c>
      <c r="I22" s="35"/>
      <c r="J22" s="35"/>
      <c r="L22" s="2"/>
      <c r="Y22" s="36"/>
    </row>
    <row r="23" spans="1:12" ht="12.75">
      <c r="A23" s="2"/>
      <c r="B23" s="33"/>
      <c r="E23" s="37" t="s">
        <v>45</v>
      </c>
      <c r="F23" s="37"/>
      <c r="G23" s="37"/>
      <c r="H23" s="37"/>
      <c r="I23" s="37"/>
      <c r="J23" s="37"/>
      <c r="K23" s="37"/>
      <c r="L23" s="2"/>
    </row>
    <row r="24" spans="1:23" ht="12.75">
      <c r="A24" s="38"/>
      <c r="B24" s="39"/>
      <c r="E24" s="37" t="s">
        <v>46</v>
      </c>
      <c r="F24" s="37"/>
      <c r="G24" s="37"/>
      <c r="H24" s="37"/>
      <c r="I24" s="37"/>
      <c r="J24" s="37"/>
      <c r="K24" s="37"/>
      <c r="L24" s="2"/>
      <c r="N24" s="35"/>
      <c r="O24" s="35"/>
      <c r="P24" s="37"/>
      <c r="Q24" s="37"/>
      <c r="R24" s="37"/>
      <c r="S24" s="37"/>
      <c r="T24" s="37"/>
      <c r="U24" s="37"/>
      <c r="V24" s="37"/>
      <c r="W24" s="37"/>
    </row>
    <row r="25" spans="1:23" ht="12.75">
      <c r="A25" s="38" t="s">
        <v>47</v>
      </c>
      <c r="C25" s="39">
        <f>B20</f>
        <v>360743</v>
      </c>
      <c r="L25" s="2"/>
      <c r="P25" s="37"/>
      <c r="Q25" s="37"/>
      <c r="R25" s="37"/>
      <c r="S25" s="37"/>
      <c r="T25" s="37"/>
      <c r="U25" s="37"/>
      <c r="V25" s="37"/>
      <c r="W25" s="37"/>
    </row>
    <row r="26" spans="1:14" ht="15.75">
      <c r="A26" s="38" t="s">
        <v>48</v>
      </c>
      <c r="C26" s="39">
        <f>C20+X20</f>
        <v>388414.856</v>
      </c>
      <c r="D26" s="36"/>
      <c r="E26" s="36"/>
      <c r="F26" s="36"/>
      <c r="G26" s="36"/>
      <c r="H26" s="36"/>
      <c r="I26" s="36"/>
      <c r="J26" s="36"/>
      <c r="N26" s="40"/>
    </row>
    <row r="27" spans="2:12" ht="15">
      <c r="B27" s="2"/>
      <c r="E27" s="41" t="s">
        <v>49</v>
      </c>
      <c r="F27" s="41"/>
      <c r="G27" s="41"/>
      <c r="H27" s="41"/>
      <c r="I27" s="41"/>
      <c r="J27" s="41"/>
      <c r="K27" s="41"/>
      <c r="L27" s="41">
        <v>16</v>
      </c>
    </row>
    <row r="28" spans="1:12" ht="12.75" customHeight="1" hidden="1">
      <c r="A28" s="42" t="s">
        <v>50</v>
      </c>
      <c r="E28" s="43" t="s">
        <v>51</v>
      </c>
      <c r="F28" s="44"/>
      <c r="G28" s="44"/>
      <c r="H28" s="44"/>
      <c r="I28" s="44"/>
      <c r="J28" s="44"/>
      <c r="K28" s="44"/>
      <c r="L28" s="45"/>
    </row>
    <row r="29" spans="1:17" ht="15.75">
      <c r="A29" s="46"/>
      <c r="C29" s="40">
        <v>8.72</v>
      </c>
      <c r="D29" s="40"/>
      <c r="E29" s="47" t="s">
        <v>52</v>
      </c>
      <c r="F29" s="48"/>
      <c r="G29" s="48"/>
      <c r="H29" s="48"/>
      <c r="I29" s="48"/>
      <c r="J29" s="48"/>
      <c r="K29" s="49"/>
      <c r="L29" s="41"/>
      <c r="M29" s="50"/>
      <c r="N29" s="51"/>
      <c r="P29" s="40"/>
      <c r="Q29" s="40"/>
    </row>
    <row r="30" spans="1:25" ht="15.75">
      <c r="A30" s="46"/>
      <c r="C30" s="40">
        <v>3.36</v>
      </c>
      <c r="D30" s="40"/>
      <c r="E30" s="47" t="s">
        <v>53</v>
      </c>
      <c r="F30" s="48"/>
      <c r="G30" s="48"/>
      <c r="H30" s="48"/>
      <c r="I30" s="48"/>
      <c r="J30" s="48"/>
      <c r="K30" s="49"/>
      <c r="L30" s="41">
        <v>1</v>
      </c>
      <c r="M30" s="50"/>
      <c r="N30" s="51"/>
      <c r="P30" s="40"/>
      <c r="Q30" s="40"/>
      <c r="S30" s="52"/>
      <c r="T30" s="52"/>
      <c r="U30" s="52"/>
      <c r="V30" s="52"/>
      <c r="W30" s="52"/>
      <c r="X30" s="52"/>
      <c r="Y30" s="52"/>
    </row>
    <row r="31" spans="1:17" ht="15.75">
      <c r="A31" s="53"/>
      <c r="B31" s="54"/>
      <c r="C31" s="40">
        <f>SUM(C29:C30)</f>
        <v>12.08</v>
      </c>
      <c r="D31" s="40"/>
      <c r="E31" s="41" t="s">
        <v>54</v>
      </c>
      <c r="F31" s="41"/>
      <c r="G31" s="41"/>
      <c r="H31" s="41"/>
      <c r="I31" s="41"/>
      <c r="J31" s="41"/>
      <c r="K31" s="41"/>
      <c r="L31" s="41">
        <v>2</v>
      </c>
      <c r="M31" s="50"/>
      <c r="P31" s="40"/>
      <c r="Q31" s="40"/>
    </row>
    <row r="32" spans="3:22" ht="15.75">
      <c r="C32" s="55" t="s">
        <v>55</v>
      </c>
      <c r="D32" s="55"/>
      <c r="E32" s="56" t="s">
        <v>56</v>
      </c>
      <c r="F32" s="56"/>
      <c r="G32" s="56"/>
      <c r="H32" s="56"/>
      <c r="I32" s="56"/>
      <c r="J32" s="56"/>
      <c r="K32" s="56"/>
      <c r="L32" s="41">
        <v>13</v>
      </c>
      <c r="M32" s="57"/>
      <c r="N32" s="57"/>
      <c r="P32" s="58"/>
      <c r="Q32" s="58"/>
      <c r="R32" s="58"/>
      <c r="V32" s="59"/>
    </row>
  </sheetData>
  <sheetProtection/>
  <mergeCells count="21">
    <mergeCell ref="E28:L28"/>
    <mergeCell ref="E29:K29"/>
    <mergeCell ref="E30:K30"/>
    <mergeCell ref="E32:K32"/>
    <mergeCell ref="M32:N32"/>
    <mergeCell ref="H22:J22"/>
    <mergeCell ref="E23:K23"/>
    <mergeCell ref="E24:K24"/>
    <mergeCell ref="N24:O24"/>
    <mergeCell ref="P24:W24"/>
    <mergeCell ref="P25:W25"/>
    <mergeCell ref="C2:O2"/>
    <mergeCell ref="AA3:AA7"/>
    <mergeCell ref="A5:A7"/>
    <mergeCell ref="B5:B7"/>
    <mergeCell ref="C5:W5"/>
    <mergeCell ref="X5:X7"/>
    <mergeCell ref="Y5:Y7"/>
    <mergeCell ref="Z5:Z7"/>
    <mergeCell ref="C6:C7"/>
    <mergeCell ref="D6:W6"/>
  </mergeCells>
  <printOptions/>
  <pageMargins left="0" right="0" top="0" bottom="0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User3</cp:lastModifiedBy>
  <dcterms:created xsi:type="dcterms:W3CDTF">2022-04-15T06:54:14Z</dcterms:created>
  <dcterms:modified xsi:type="dcterms:W3CDTF">2022-04-15T06:54:26Z</dcterms:modified>
  <cp:category/>
  <cp:version/>
  <cp:contentType/>
  <cp:contentStatus/>
</cp:coreProperties>
</file>