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.Мар,4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РКЦ  3024,41+нежилые 47,6+63,5+97,6м2+30,7м2
</t>
        </r>
      </text>
    </comment>
  </commentList>
</comments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<sst xmlns="http://schemas.openxmlformats.org/spreadsheetml/2006/main" count="56" uniqueCount="56">
  <si>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</si>
  <si>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Карла-Маркса,     дом    4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</si>
  <si>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</si>
  <si>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</si>
  <si>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</si>
  <si>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</si>
  <si>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</si>
  <si>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</si>
  <si>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</si>
  <si>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</si>
  <si>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</si>
  <si>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</si>
  <si>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</si>
  <si>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</si>
  <si>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</si>
  <si>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</si>
  <si>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</si>
  <si>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</si>
  <si>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</si>
  <si>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</si>
  <si>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</si>
  <si>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</si>
  <si>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</si>
  <si>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</si>
  <si>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</si>
  <si>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</si>
  <si>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</si>
  <si>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</si>
  <si>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</si>
  <si>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</si>
  <si>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</si>
  <si>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</si>
  <si>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</si>
  <si>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</si>
  <si>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</si>
  <si>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</si>
  <si>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</si>
  <si>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</si>
  <si>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</si>
  <si>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</si>
  <si>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</si>
  <si>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</si>
  <si>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</si>
  <si>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</si>
  <si>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   2021г.</t>
  </si>
  <si>
    <t>СОИ(эл.энергия) 1,82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</si>
  <si>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</si>
  <si>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</si>
  <si>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</si>
  <si>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</si>
  <si>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</si>
  <si>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</si>
  <si>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</si>
  <si>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</si>
  <si>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 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</si>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</sst>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28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1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2" borderId="8" applyNumberFormat="0" applyFont="0" applyAlignment="0" applyProtection="0"/>
    <xf numFmtId="9" fontId="3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4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2" fontId="19" fillId="0" borderId="2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5" fillId="0" borderId="0" xfId="0" applyFont="1" applyAlignment="1">
      <alignment/>
    </xf>
    <xf numFmtId="2" fontId="2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 horizontal="left"/>
    </xf>
    <xf numFmtId="0" fontId="23" fillId="34" borderId="16" xfId="0" applyFont="1" applyFill="1" applyBorder="1" applyAlignment="1">
      <alignment horizontal="left"/>
    </xf>
    <xf numFmtId="0" fontId="24" fillId="0" borderId="0" xfId="0" applyFont="1" applyAlignment="1">
      <alignment/>
    </xf>
    <xf numFmtId="2" fontId="22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11">
        <row r="8">
          <cell r="L8">
            <v>36178.49</v>
          </cell>
          <cell r="Q8">
            <v>348.1411547046662</v>
          </cell>
          <cell r="R8">
            <v>233.66998280642375</v>
          </cell>
          <cell r="AE8">
            <v>173426.9</v>
          </cell>
        </row>
        <row r="9">
          <cell r="L9">
            <v>40149.06</v>
          </cell>
          <cell r="Q9">
            <v>223.3009370209839</v>
          </cell>
          <cell r="R9">
            <v>1032.0750876914599</v>
          </cell>
          <cell r="AE9">
            <v>175088.26</v>
          </cell>
        </row>
        <row r="10">
          <cell r="L10">
            <v>42288.37</v>
          </cell>
          <cell r="Q10">
            <v>397.4637639447673</v>
          </cell>
          <cell r="R10">
            <v>672.6928277867449</v>
          </cell>
          <cell r="AE10">
            <v>178102.35</v>
          </cell>
        </row>
        <row r="11">
          <cell r="L11">
            <v>40202.77</v>
          </cell>
          <cell r="Q11">
            <v>347.7845210131985</v>
          </cell>
          <cell r="R11">
            <v>438.73165349425267</v>
          </cell>
          <cell r="AE11">
            <v>185189.78</v>
          </cell>
        </row>
        <row r="12">
          <cell r="L12">
            <v>45232</v>
          </cell>
          <cell r="Q12">
            <v>464.070378962179</v>
          </cell>
          <cell r="R12">
            <v>1102.345399931995</v>
          </cell>
          <cell r="AE12">
            <v>185174.94</v>
          </cell>
        </row>
        <row r="13">
          <cell r="L13">
            <v>44731.94</v>
          </cell>
          <cell r="Q13">
            <v>438.98916302083546</v>
          </cell>
          <cell r="AE13">
            <v>183677.4</v>
          </cell>
        </row>
        <row r="14">
          <cell r="L14">
            <v>36061.81</v>
          </cell>
          <cell r="Q14">
            <v>384.67513675834334</v>
          </cell>
          <cell r="R14">
            <v>869.2574651278223</v>
          </cell>
          <cell r="AE14">
            <v>191067.04</v>
          </cell>
        </row>
        <row r="15">
          <cell r="L15">
            <v>41267.69</v>
          </cell>
          <cell r="Q15">
            <v>280.91243088215174</v>
          </cell>
          <cell r="AE15">
            <v>192718.93</v>
          </cell>
        </row>
        <row r="16">
          <cell r="L16">
            <v>46265.34999999999</v>
          </cell>
          <cell r="Q16">
            <v>440.58855966435164</v>
          </cell>
          <cell r="R16">
            <v>489.24517791161645</v>
          </cell>
          <cell r="AE16">
            <v>189063.05</v>
          </cell>
        </row>
        <row r="17">
          <cell r="L17">
            <v>44604.14</v>
          </cell>
          <cell r="Q17">
            <v>389.07620501205724</v>
          </cell>
          <cell r="AE17">
            <v>189485.29</v>
          </cell>
        </row>
        <row r="18">
          <cell r="L18">
            <v>47476.48</v>
          </cell>
          <cell r="Q18">
            <v>275.27950961256613</v>
          </cell>
          <cell r="R18">
            <v>46.35510660001642</v>
          </cell>
          <cell r="AE18">
            <v>188892.34</v>
          </cell>
        </row>
        <row r="19">
          <cell r="L19">
            <v>44465</v>
          </cell>
          <cell r="Q19">
            <v>244.55834155387848</v>
          </cell>
          <cell r="R19">
            <v>1919.1576600227468</v>
          </cell>
          <cell r="AE19">
            <v>188056.75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11">
        <row r="8">
          <cell r="S8">
            <v>1252.650748427088</v>
          </cell>
        </row>
        <row r="9">
          <cell r="S9">
            <v>1257.8489693507854</v>
          </cell>
        </row>
        <row r="10">
          <cell r="S10">
            <v>1320.8496423355998</v>
          </cell>
        </row>
        <row r="11">
          <cell r="S11">
            <v>1162.1659197640927</v>
          </cell>
        </row>
        <row r="12">
          <cell r="S12">
            <v>1245.8436755818545</v>
          </cell>
        </row>
        <row r="13">
          <cell r="S13">
            <v>1322.5414966767373</v>
          </cell>
        </row>
        <row r="14">
          <cell r="S14">
            <v>1312.5739365426027</v>
          </cell>
        </row>
        <row r="15">
          <cell r="S15">
            <v>1266.1715535524872</v>
          </cell>
        </row>
        <row r="16">
          <cell r="S16">
            <v>1360.6166890476545</v>
          </cell>
        </row>
        <row r="17">
          <cell r="S17">
            <v>1185.007447029856</v>
          </cell>
        </row>
        <row r="18">
          <cell r="S18">
            <v>1250.4665792044962</v>
          </cell>
        </row>
        <row r="19">
          <cell r="S19">
            <v>1476.5223963316307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4">
      <selection activeCell="W7" sqref="W7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1.00390625" style="0" customWidth="1"/>
    <col min="4" max="4" width="7.140625" style="0" customWidth="1"/>
    <col min="5" max="5" width="6.8515625" style="0" customWidth="1"/>
    <col min="6" max="6" width="8.28125" style="0" customWidth="1"/>
    <col min="7" max="7" width="6.57421875" style="0" customWidth="1"/>
    <col min="8" max="8" width="7.28125" style="0" customWidth="1"/>
    <col min="9" max="9" width="7.8515625" style="0" customWidth="1"/>
    <col min="10" max="10" width="6.57421875" style="0" customWidth="1"/>
    <col min="11" max="11" width="6.7109375" style="0" customWidth="1"/>
    <col min="12" max="12" width="5.00390625" style="0" customWidth="1"/>
    <col min="13" max="13" width="6.28125" style="0" customWidth="1"/>
    <col min="14" max="14" width="6.8515625" style="0" customWidth="1"/>
    <col min="15" max="15" width="6.57421875" style="0" customWidth="1"/>
    <col min="16" max="16" width="6.00390625" style="0" customWidth="1"/>
    <col min="17" max="17" width="5.421875" style="0" customWidth="1"/>
    <col min="18" max="18" width="6.28125" style="0" customWidth="1"/>
    <col min="19" max="19" width="5.7109375" style="0" customWidth="1"/>
    <col min="20" max="21" width="6.140625" style="0" customWidth="1"/>
    <col min="22" max="22" width="6.00390625" style="0" customWidth="1"/>
    <col min="23" max="23" width="5.8515625" style="0" customWidth="1"/>
    <col min="24" max="24" width="7.8515625" style="0" customWidth="1"/>
    <col min="25" max="25" width="9.7109375" style="0" customWidth="1"/>
    <col min="26" max="26" width="9.28125" style="0" customWidth="1"/>
    <col min="27" max="27" width="9.7109375" style="0" customWidth="1"/>
  </cols>
  <sheetData>
    <row r="1" spans="1:12" ht="15">
      <c r="A1" s="1" t="s">
        <v>0</v>
      </c>
      <c r="L1" s="2"/>
    </row>
    <row r="2" spans="1:15" ht="14.25">
      <c r="A2" s="2"/>
      <c r="B2">
        <f>3024.41+239.4</f>
        <v>3263.81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02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9" t="s">
        <v>22</v>
      </c>
      <c r="P7" s="19" t="s">
        <v>23</v>
      </c>
      <c r="Q7" s="18" t="s">
        <v>24</v>
      </c>
      <c r="R7" s="18" t="s">
        <v>25</v>
      </c>
      <c r="S7" s="18" t="s">
        <v>26</v>
      </c>
      <c r="T7" s="18" t="s">
        <v>27</v>
      </c>
      <c r="U7" s="18" t="s">
        <v>28</v>
      </c>
      <c r="V7" s="18" t="s">
        <v>29</v>
      </c>
      <c r="W7" s="18" t="s">
        <v>30</v>
      </c>
      <c r="X7" s="21"/>
      <c r="Y7" s="21"/>
      <c r="Z7" s="10"/>
      <c r="AA7" s="22"/>
    </row>
    <row r="8" spans="1:27" ht="12.75">
      <c r="A8" s="23" t="s">
        <v>31</v>
      </c>
      <c r="B8" s="24">
        <f>'[1]КМар 4'!$L$8</f>
        <v>36178.49</v>
      </c>
      <c r="C8" s="24">
        <f>8.3*3024.4+7.4*239.4+(1.75+0.05)*B2</f>
        <v>32748.938000000006</v>
      </c>
      <c r="D8" s="25">
        <f>C8*57/100</f>
        <v>18666.89466</v>
      </c>
      <c r="E8" s="25">
        <f>D8*28/100</f>
        <v>5226.730504800001</v>
      </c>
      <c r="F8" s="24">
        <v>6811.68</v>
      </c>
      <c r="G8" s="24">
        <f>'[1]КМар 4'!$Q8</f>
        <v>348.1411547046662</v>
      </c>
      <c r="H8" s="24">
        <f>'[1]КМар 4'!$R8</f>
        <v>233.66998280642375</v>
      </c>
      <c r="I8" s="24">
        <f>'[2]КМар 4'!$S8</f>
        <v>1252.650748427088</v>
      </c>
      <c r="J8" s="25">
        <f>C8-(D8+E8+F8+G8+H8+I8)</f>
        <v>209.17094926182472</v>
      </c>
      <c r="K8" s="23"/>
      <c r="L8" s="23">
        <v>134.83</v>
      </c>
      <c r="M8" s="26"/>
      <c r="N8" s="26"/>
      <c r="O8" s="23"/>
      <c r="P8" s="27"/>
      <c r="Q8" s="27"/>
      <c r="R8" s="27"/>
      <c r="S8" s="27"/>
      <c r="T8" s="27"/>
      <c r="U8" s="27"/>
      <c r="V8" s="27"/>
      <c r="W8" s="27"/>
      <c r="X8" s="23">
        <f>SUM(K8:W8)</f>
        <v>134.83</v>
      </c>
      <c r="Y8" s="24">
        <f>C8+X8</f>
        <v>32883.768000000004</v>
      </c>
      <c r="Z8" s="24">
        <f>B8-C8-X8</f>
        <v>3294.7219999999925</v>
      </c>
      <c r="AA8" s="23">
        <f>'[1]КМар 4'!$AE$8</f>
        <v>173426.9</v>
      </c>
    </row>
    <row r="9" spans="1:27" ht="12.75">
      <c r="A9" s="23" t="s">
        <v>32</v>
      </c>
      <c r="B9" s="24">
        <f>'[1]КМар 4'!$L$9</f>
        <v>40149.06</v>
      </c>
      <c r="C9" s="24">
        <f>8.3*3024.4+7.4*239.4+(1.75+0.05)*B2</f>
        <v>32748.938000000006</v>
      </c>
      <c r="D9" s="25">
        <f>C9*56.9/100</f>
        <v>18634.145722</v>
      </c>
      <c r="E9" s="25">
        <f aca="true" t="shared" si="0" ref="E9:E19">D9*28/100</f>
        <v>5217.56080216</v>
      </c>
      <c r="F9" s="24">
        <v>6351.68</v>
      </c>
      <c r="G9" s="24">
        <f>'[1]КМар 4'!$Q9</f>
        <v>223.3009370209839</v>
      </c>
      <c r="H9" s="24">
        <f>'[1]КМар 4'!$R9</f>
        <v>1032.0750876914599</v>
      </c>
      <c r="I9" s="24">
        <f>'[2]КМар 4'!$S9</f>
        <v>1257.8489693507854</v>
      </c>
      <c r="J9" s="25">
        <f aca="true" t="shared" si="1" ref="J9:J19">C9-(D9+E9+F9+G9+H9+I9)</f>
        <v>32.32648177677402</v>
      </c>
      <c r="K9" s="23"/>
      <c r="L9" s="23">
        <v>134.83</v>
      </c>
      <c r="M9" s="27"/>
      <c r="N9" s="27"/>
      <c r="O9" s="27"/>
      <c r="P9" s="27"/>
      <c r="Q9" s="27"/>
      <c r="R9" s="27"/>
      <c r="S9" s="27"/>
      <c r="T9" s="27">
        <v>9000</v>
      </c>
      <c r="U9" s="27"/>
      <c r="V9" s="27"/>
      <c r="W9" s="27">
        <f>499</f>
        <v>499</v>
      </c>
      <c r="X9" s="23">
        <f>K9+L9+M9+N9+O9+P9+V9+W9+R9+S9+T9+U9</f>
        <v>9633.83</v>
      </c>
      <c r="Y9" s="24">
        <f aca="true" t="shared" si="2" ref="Y9:Y19">C9+X9</f>
        <v>42382.768000000004</v>
      </c>
      <c r="Z9" s="24">
        <f aca="true" t="shared" si="3" ref="Z9:Z19">B9-C9-X9</f>
        <v>-2233.708000000008</v>
      </c>
      <c r="AA9" s="23">
        <f>'[1]КМар 4'!$AE$9</f>
        <v>175088.26</v>
      </c>
    </row>
    <row r="10" spans="1:27" ht="12.75">
      <c r="A10" s="23" t="s">
        <v>33</v>
      </c>
      <c r="B10" s="24">
        <f>'[1]КМар 4'!$L$10</f>
        <v>42288.37</v>
      </c>
      <c r="C10" s="24">
        <f>8.3*3024.4+7.4*239.4+(1.75+0.05)*B2</f>
        <v>32748.938000000006</v>
      </c>
      <c r="D10" s="25">
        <f aca="true" t="shared" si="4" ref="D10:D19">C10*60/100</f>
        <v>19649.362800000003</v>
      </c>
      <c r="E10" s="25">
        <f t="shared" si="0"/>
        <v>5501.821584000001</v>
      </c>
      <c r="F10" s="24">
        <v>5133.6</v>
      </c>
      <c r="G10" s="24">
        <f>'[1]КМар 4'!$Q10</f>
        <v>397.4637639447673</v>
      </c>
      <c r="H10" s="24">
        <f>'[1]КМар 4'!$R10</f>
        <v>672.6928277867449</v>
      </c>
      <c r="I10" s="24">
        <f>'[2]КМар 4'!$S10</f>
        <v>1320.8496423355998</v>
      </c>
      <c r="J10" s="25">
        <f t="shared" si="1"/>
        <v>73.14738193288576</v>
      </c>
      <c r="K10" s="23"/>
      <c r="L10" s="23">
        <v>134.83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3">
        <f aca="true" t="shared" si="5" ref="X10:X19">K10+L10+M10+N10+O10+P10+V10+W10+R10+S10</f>
        <v>134.83</v>
      </c>
      <c r="Y10" s="24">
        <f t="shared" si="2"/>
        <v>32883.768000000004</v>
      </c>
      <c r="Z10" s="24">
        <f t="shared" si="3"/>
        <v>9404.601999999997</v>
      </c>
      <c r="AA10" s="24">
        <f>'[1]КМар 4'!$AE$10</f>
        <v>178102.35</v>
      </c>
    </row>
    <row r="11" spans="1:27" ht="12.75">
      <c r="A11" s="23" t="s">
        <v>34</v>
      </c>
      <c r="B11" s="24">
        <f>'[1]КМар 4'!$L$11</f>
        <v>40202.77</v>
      </c>
      <c r="C11" s="24">
        <f>8.3*3024.4+7.4*239.4+(1.75+0.05)*B2</f>
        <v>32748.938000000006</v>
      </c>
      <c r="D11" s="25">
        <f t="shared" si="4"/>
        <v>19649.362800000003</v>
      </c>
      <c r="E11" s="25">
        <f t="shared" si="0"/>
        <v>5501.821584000001</v>
      </c>
      <c r="F11" s="24">
        <v>4727.12</v>
      </c>
      <c r="G11" s="24">
        <f>'[1]КМар 4'!$Q11</f>
        <v>347.7845210131985</v>
      </c>
      <c r="H11" s="24">
        <f>'[1]КМар 4'!$R11</f>
        <v>438.73165349425267</v>
      </c>
      <c r="I11" s="24">
        <f>'[2]КМар 4'!$S11</f>
        <v>1162.1659197640927</v>
      </c>
      <c r="J11" s="25">
        <f t="shared" si="1"/>
        <v>921.9515217284606</v>
      </c>
      <c r="K11" s="23"/>
      <c r="L11" s="23">
        <v>134.83</v>
      </c>
      <c r="M11" s="27"/>
      <c r="N11" s="27"/>
      <c r="O11" s="27"/>
      <c r="P11" s="27"/>
      <c r="Q11" s="27"/>
      <c r="R11" s="27"/>
      <c r="S11" s="27"/>
      <c r="T11" s="27"/>
      <c r="U11" s="27">
        <v>2950</v>
      </c>
      <c r="V11" s="27"/>
      <c r="W11" s="27"/>
      <c r="X11" s="23">
        <f>K11+L11+M11+N11+O11+P11+V11+W11+R11+S11+T11+U11</f>
        <v>3084.83</v>
      </c>
      <c r="Y11" s="24">
        <f t="shared" si="2"/>
        <v>35833.768000000004</v>
      </c>
      <c r="Z11" s="24">
        <f t="shared" si="3"/>
        <v>4369.001999999991</v>
      </c>
      <c r="AA11" s="24">
        <f>'[1]КМар 4'!$AE$11</f>
        <v>185189.78</v>
      </c>
    </row>
    <row r="12" spans="1:27" ht="12.75">
      <c r="A12" s="23" t="s">
        <v>35</v>
      </c>
      <c r="B12" s="24">
        <f>'[1]КМар 4'!$L$12</f>
        <v>45232</v>
      </c>
      <c r="C12" s="24">
        <f>8.3*3024.4+7.4*239.4+(1.75+0.05)*B2</f>
        <v>32748.938000000006</v>
      </c>
      <c r="D12" s="25">
        <f t="shared" si="4"/>
        <v>19649.362800000003</v>
      </c>
      <c r="E12" s="25">
        <f t="shared" si="0"/>
        <v>5501.821584000001</v>
      </c>
      <c r="F12" s="24">
        <v>3724.16</v>
      </c>
      <c r="G12" s="24">
        <f>'[1]КМар 4'!$Q12</f>
        <v>464.070378962179</v>
      </c>
      <c r="H12" s="24">
        <f>'[1]КМар 4'!$R12</f>
        <v>1102.345399931995</v>
      </c>
      <c r="I12" s="24">
        <f>'[2]КМар 4'!$S12</f>
        <v>1245.8436755818545</v>
      </c>
      <c r="J12" s="25">
        <f t="shared" si="1"/>
        <v>1061.3341615239733</v>
      </c>
      <c r="K12" s="23"/>
      <c r="L12" s="23">
        <v>134.83</v>
      </c>
      <c r="M12" s="27"/>
      <c r="N12" s="27"/>
      <c r="O12" s="27"/>
      <c r="P12" s="27"/>
      <c r="Q12" s="27"/>
      <c r="R12" s="27"/>
      <c r="S12" s="27">
        <v>3090</v>
      </c>
      <c r="T12" s="27"/>
      <c r="U12" s="27">
        <v>2950</v>
      </c>
      <c r="V12" s="27">
        <v>4500</v>
      </c>
      <c r="W12" s="27"/>
      <c r="X12" s="23">
        <f>K12+L12+M12+N12+O12+P12+V12+W12+R12+S12+T12+U12</f>
        <v>10674.83</v>
      </c>
      <c r="Y12" s="24">
        <f t="shared" si="2"/>
        <v>43423.768000000004</v>
      </c>
      <c r="Z12" s="24">
        <f t="shared" si="3"/>
        <v>1808.2319999999945</v>
      </c>
      <c r="AA12" s="24">
        <f>'[1]КМар 4'!$AE$12</f>
        <v>185174.94</v>
      </c>
    </row>
    <row r="13" spans="1:27" ht="12.75">
      <c r="A13" s="23" t="s">
        <v>36</v>
      </c>
      <c r="B13" s="24">
        <f>'[1]КМар 4'!$L$13</f>
        <v>44731.94</v>
      </c>
      <c r="C13" s="24">
        <f>8.3*3024.4+7.4*239.4+(1.75+0.05)*B2</f>
        <v>32748.938000000006</v>
      </c>
      <c r="D13" s="25">
        <f t="shared" si="4"/>
        <v>19649.362800000003</v>
      </c>
      <c r="E13" s="25">
        <f t="shared" si="0"/>
        <v>5501.821584000001</v>
      </c>
      <c r="F13" s="24">
        <v>6613.92</v>
      </c>
      <c r="G13" s="24">
        <f>'[1]КМар 4'!$Q13</f>
        <v>438.98916302083546</v>
      </c>
      <c r="H13" s="24">
        <v>1950.54</v>
      </c>
      <c r="I13" s="24">
        <f>'[2]КМар 4'!$S13</f>
        <v>1322.5414966767373</v>
      </c>
      <c r="J13" s="25">
        <f t="shared" si="1"/>
        <v>-2728.2370436975725</v>
      </c>
      <c r="K13" s="23"/>
      <c r="L13" s="23">
        <v>134.83</v>
      </c>
      <c r="M13" s="27"/>
      <c r="N13" s="27"/>
      <c r="O13" s="27"/>
      <c r="P13" s="27"/>
      <c r="Q13" s="27"/>
      <c r="R13" s="27">
        <f>2500</f>
        <v>2500</v>
      </c>
      <c r="S13" s="27"/>
      <c r="T13" s="27"/>
      <c r="U13" s="27"/>
      <c r="V13" s="27"/>
      <c r="W13" s="27"/>
      <c r="X13" s="23">
        <f t="shared" si="5"/>
        <v>2634.83</v>
      </c>
      <c r="Y13" s="24">
        <f t="shared" si="2"/>
        <v>35383.768000000004</v>
      </c>
      <c r="Z13" s="24">
        <f t="shared" si="3"/>
        <v>9348.171999999997</v>
      </c>
      <c r="AA13" s="24">
        <f>'[1]КМар 4'!$AE$13</f>
        <v>183677.4</v>
      </c>
    </row>
    <row r="14" spans="1:27" ht="12.75">
      <c r="A14" s="23" t="s">
        <v>37</v>
      </c>
      <c r="B14" s="24">
        <f>'[1]КМар 4'!$L$14</f>
        <v>36061.81</v>
      </c>
      <c r="C14" s="24">
        <f>8.3*3024.4+7.4*239.4+(1.82+0.05)*B2</f>
        <v>32977.40470000001</v>
      </c>
      <c r="D14" s="25">
        <f>C14*58.7/100</f>
        <v>19357.736558900004</v>
      </c>
      <c r="E14" s="25">
        <f t="shared" si="0"/>
        <v>5420.166236492001</v>
      </c>
      <c r="F14" s="24">
        <v>5595.63</v>
      </c>
      <c r="G14" s="24">
        <f>'[1]КМар 4'!$Q14</f>
        <v>384.67513675834334</v>
      </c>
      <c r="H14" s="24">
        <f>'[1]КМар 4'!$R14</f>
        <v>869.2574651278223</v>
      </c>
      <c r="I14" s="24">
        <f>'[2]КМар 4'!$S14</f>
        <v>1312.5739365426027</v>
      </c>
      <c r="J14" s="25">
        <f t="shared" si="1"/>
        <v>37.365366179234115</v>
      </c>
      <c r="K14" s="23"/>
      <c r="L14" s="23">
        <v>134.83</v>
      </c>
      <c r="M14" s="27">
        <f>14368+1700</f>
        <v>16068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3">
        <f t="shared" si="5"/>
        <v>16202.83</v>
      </c>
      <c r="Y14" s="24">
        <f t="shared" si="2"/>
        <v>49180.23470000001</v>
      </c>
      <c r="Z14" s="24">
        <f t="shared" si="3"/>
        <v>-13118.424700000009</v>
      </c>
      <c r="AA14" s="24">
        <f>'[1]КМар 4'!$AE$14</f>
        <v>191067.04</v>
      </c>
    </row>
    <row r="15" spans="1:27" ht="12.75">
      <c r="A15" s="23" t="s">
        <v>38</v>
      </c>
      <c r="B15" s="24">
        <f>'[1]КМар 4'!$L$15</f>
        <v>41267.69</v>
      </c>
      <c r="C15" s="24">
        <f>8.3*3024.4+7.4*239.4+(1.82+0.05)*B2</f>
        <v>32977.40470000001</v>
      </c>
      <c r="D15" s="25">
        <f>C15*60/100</f>
        <v>19786.442820000004</v>
      </c>
      <c r="E15" s="25">
        <f t="shared" si="0"/>
        <v>5540.2039896000015</v>
      </c>
      <c r="F15" s="24">
        <v>8678.78</v>
      </c>
      <c r="G15" s="24">
        <f>'[1]КМар 4'!$Q15</f>
        <v>280.91243088215174</v>
      </c>
      <c r="H15" s="24">
        <v>1844.59</v>
      </c>
      <c r="I15" s="24">
        <f>'[2]КМар 4'!$S15</f>
        <v>1266.1715535524872</v>
      </c>
      <c r="J15" s="25">
        <f t="shared" si="1"/>
        <v>-4419.696094034633</v>
      </c>
      <c r="K15" s="23">
        <v>14157</v>
      </c>
      <c r="L15" s="23">
        <v>134.83</v>
      </c>
      <c r="M15" s="27"/>
      <c r="N15" s="27">
        <f>20690+4500</f>
        <v>25190</v>
      </c>
      <c r="O15" s="27"/>
      <c r="P15" s="27"/>
      <c r="Q15" s="27"/>
      <c r="R15" s="27"/>
      <c r="S15" s="27"/>
      <c r="T15" s="27"/>
      <c r="U15" s="27"/>
      <c r="V15" s="27"/>
      <c r="W15" s="27"/>
      <c r="X15" s="23">
        <f t="shared" si="5"/>
        <v>39481.83</v>
      </c>
      <c r="Y15" s="24">
        <f t="shared" si="2"/>
        <v>72459.2347</v>
      </c>
      <c r="Z15" s="24">
        <f t="shared" si="3"/>
        <v>-31191.544700000006</v>
      </c>
      <c r="AA15" s="24">
        <f>'[1]КМар 4'!$AE$15</f>
        <v>192718.93</v>
      </c>
    </row>
    <row r="16" spans="1:27" ht="12.75">
      <c r="A16" s="23" t="s">
        <v>39</v>
      </c>
      <c r="B16" s="24">
        <f>'[1]КМар 4'!$L$16</f>
        <v>46265.34999999999</v>
      </c>
      <c r="C16" s="24">
        <f>8.3*3024.4+7.4*239.4+(1.82+0.05)*B2</f>
        <v>32977.40470000001</v>
      </c>
      <c r="D16" s="25">
        <f t="shared" si="4"/>
        <v>19786.442820000004</v>
      </c>
      <c r="E16" s="25">
        <f t="shared" si="0"/>
        <v>5540.2039896000015</v>
      </c>
      <c r="F16" s="24">
        <v>5342.85</v>
      </c>
      <c r="G16" s="24">
        <f>'[1]КМар 4'!$Q16</f>
        <v>440.58855966435164</v>
      </c>
      <c r="H16" s="24">
        <f>'[1]КМар 4'!$R16</f>
        <v>489.24517791161645</v>
      </c>
      <c r="I16" s="24">
        <f>'[2]КМар 4'!$S16</f>
        <v>1360.6166890476545</v>
      </c>
      <c r="J16" s="25">
        <f t="shared" si="1"/>
        <v>17.457463776372606</v>
      </c>
      <c r="K16" s="23"/>
      <c r="L16" s="23">
        <v>134.83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>
        <v>18391</v>
      </c>
      <c r="X16" s="23">
        <f t="shared" si="5"/>
        <v>18525.83</v>
      </c>
      <c r="Y16" s="24">
        <f t="shared" si="2"/>
        <v>51503.23470000001</v>
      </c>
      <c r="Z16" s="24">
        <f t="shared" si="3"/>
        <v>-5237.884700000017</v>
      </c>
      <c r="AA16" s="24">
        <f>'[1]КМар 4'!$AE$16</f>
        <v>189063.05</v>
      </c>
    </row>
    <row r="17" spans="1:27" ht="12.75">
      <c r="A17" s="23" t="s">
        <v>40</v>
      </c>
      <c r="B17" s="24">
        <f>'[1]КМар 4'!$L$17</f>
        <v>44604.14</v>
      </c>
      <c r="C17" s="24">
        <f>8.72*3024.4+7.78*239.4+(1.82+0.05)*B2</f>
        <v>34338.6247</v>
      </c>
      <c r="D17" s="25">
        <f>C17*56.5/100</f>
        <v>19401.3229555</v>
      </c>
      <c r="E17" s="25">
        <f t="shared" si="0"/>
        <v>5432.3704275400005</v>
      </c>
      <c r="F17" s="24">
        <v>6779.1</v>
      </c>
      <c r="G17" s="24">
        <f>'[1]КМар 4'!$Q17</f>
        <v>389.07620501205724</v>
      </c>
      <c r="H17" s="24">
        <v>962.46</v>
      </c>
      <c r="I17" s="24">
        <f>'[2]КМар 4'!$S17</f>
        <v>1185.007447029856</v>
      </c>
      <c r="J17" s="25">
        <f t="shared" si="1"/>
        <v>189.28766491808346</v>
      </c>
      <c r="K17" s="23">
        <f>10728+3000</f>
        <v>13728</v>
      </c>
      <c r="L17" s="23">
        <v>134.83</v>
      </c>
      <c r="M17" s="27"/>
      <c r="N17" s="27"/>
      <c r="O17" s="27">
        <f>54023+15500</f>
        <v>69523</v>
      </c>
      <c r="P17" s="27"/>
      <c r="Q17" s="27"/>
      <c r="R17" s="27"/>
      <c r="S17" s="27"/>
      <c r="T17" s="27"/>
      <c r="U17" s="27"/>
      <c r="V17" s="27"/>
      <c r="W17" s="27"/>
      <c r="X17" s="23">
        <f t="shared" si="5"/>
        <v>83385.83</v>
      </c>
      <c r="Y17" s="24">
        <f t="shared" si="2"/>
        <v>117724.4547</v>
      </c>
      <c r="Z17" s="24">
        <f t="shared" si="3"/>
        <v>-73120.3147</v>
      </c>
      <c r="AA17" s="24">
        <f>'[1]КМар 4'!$AE$17</f>
        <v>189485.29</v>
      </c>
    </row>
    <row r="18" spans="1:27" ht="12.75">
      <c r="A18" s="23" t="s">
        <v>41</v>
      </c>
      <c r="B18" s="24">
        <f>'[1]КМар 4'!$L$18</f>
        <v>47476.48</v>
      </c>
      <c r="C18" s="24">
        <f>8.72*3024.4+7.78*239.4+(1.82+0.05)*B2</f>
        <v>34338.6247</v>
      </c>
      <c r="D18" s="25">
        <f t="shared" si="4"/>
        <v>20603.17482</v>
      </c>
      <c r="E18" s="25">
        <f t="shared" si="0"/>
        <v>5768.888949599999</v>
      </c>
      <c r="F18" s="24">
        <v>5825.43</v>
      </c>
      <c r="G18" s="24">
        <f>'[1]КМар 4'!$Q18</f>
        <v>275.27950961256613</v>
      </c>
      <c r="H18" s="24">
        <f>'[1]КМар 4'!$R18</f>
        <v>46.35510660001642</v>
      </c>
      <c r="I18" s="24">
        <f>'[2]КМар 4'!$S18</f>
        <v>1250.4665792044962</v>
      </c>
      <c r="J18" s="25">
        <f t="shared" si="1"/>
        <v>569.0297349829198</v>
      </c>
      <c r="K18" s="23"/>
      <c r="L18" s="23">
        <v>134.83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3">
        <f t="shared" si="5"/>
        <v>134.83</v>
      </c>
      <c r="Y18" s="24">
        <f t="shared" si="2"/>
        <v>34473.4547</v>
      </c>
      <c r="Z18" s="24">
        <f t="shared" si="3"/>
        <v>13003.025300000003</v>
      </c>
      <c r="AA18" s="24">
        <f>'[1]КМар 4'!$AE$18</f>
        <v>188892.34</v>
      </c>
    </row>
    <row r="19" spans="1:27" ht="12.75">
      <c r="A19" s="23" t="s">
        <v>42</v>
      </c>
      <c r="B19" s="24">
        <f>'[1]КМар 4'!$L$19</f>
        <v>44465</v>
      </c>
      <c r="C19" s="24">
        <f>8.72*3302.4+7.78*239.4+(1.82+0.05)*B2</f>
        <v>36762.784700000004</v>
      </c>
      <c r="D19" s="25">
        <f t="shared" si="4"/>
        <v>22057.670820000003</v>
      </c>
      <c r="E19" s="25">
        <f t="shared" si="0"/>
        <v>6176.147829600001</v>
      </c>
      <c r="F19" s="24">
        <v>5392.64</v>
      </c>
      <c r="G19" s="24">
        <f>'[1]КМар 4'!$Q19</f>
        <v>244.55834155387848</v>
      </c>
      <c r="H19" s="24">
        <f>'[1]КМар 4'!$R19</f>
        <v>1919.1576600227468</v>
      </c>
      <c r="I19" s="24">
        <f>'[2]КМар 4'!$S19</f>
        <v>1476.5223963316307</v>
      </c>
      <c r="J19" s="25">
        <f t="shared" si="1"/>
        <v>-503.9123475082597</v>
      </c>
      <c r="K19" s="23"/>
      <c r="L19" s="23">
        <v>134.83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3">
        <f t="shared" si="5"/>
        <v>134.83</v>
      </c>
      <c r="Y19" s="24">
        <f t="shared" si="2"/>
        <v>36897.614700000006</v>
      </c>
      <c r="Z19" s="24">
        <f t="shared" si="3"/>
        <v>7567.385299999996</v>
      </c>
      <c r="AA19" s="24">
        <f>'[1]КМар 4'!$AE$19</f>
        <v>188056.75</v>
      </c>
    </row>
    <row r="20" spans="1:27" ht="12.75">
      <c r="A20" s="28" t="s">
        <v>43</v>
      </c>
      <c r="B20" s="29">
        <f>B8+B9+B10+B11+B12+B13+B14+B15+B16+B17+B18+B19</f>
        <v>508923.0999999999</v>
      </c>
      <c r="C20" s="29">
        <f>C8+C9+C10+C11+C12+C13+C14+C15+C16+C17+C18+C19</f>
        <v>400865.87620000006</v>
      </c>
      <c r="D20" s="30">
        <f aca="true" t="shared" si="6" ref="D20:J20">SUM(D8:D19)</f>
        <v>236891.28237640002</v>
      </c>
      <c r="E20" s="30">
        <f t="shared" si="6"/>
        <v>66329.55906539201</v>
      </c>
      <c r="F20" s="30">
        <f t="shared" si="6"/>
        <v>70976.58999999998</v>
      </c>
      <c r="G20" s="30">
        <f t="shared" si="6"/>
        <v>4234.840102149978</v>
      </c>
      <c r="H20" s="30">
        <f t="shared" si="6"/>
        <v>11561.12036137308</v>
      </c>
      <c r="I20" s="30">
        <f t="shared" si="6"/>
        <v>15413.259053844888</v>
      </c>
      <c r="J20" s="30">
        <f t="shared" si="6"/>
        <v>-4540.774759159936</v>
      </c>
      <c r="K20" s="28">
        <f aca="true" t="shared" si="7" ref="K20:Q20">K8+K9+K10+K11+K12+K13+K14+K15+K16+K17+K18+K19</f>
        <v>27885</v>
      </c>
      <c r="L20" s="29">
        <f t="shared" si="7"/>
        <v>1617.9599999999998</v>
      </c>
      <c r="M20" s="28">
        <f t="shared" si="7"/>
        <v>16068</v>
      </c>
      <c r="N20" s="28">
        <f t="shared" si="7"/>
        <v>25190</v>
      </c>
      <c r="O20" s="28">
        <f t="shared" si="7"/>
        <v>69523</v>
      </c>
      <c r="P20" s="28">
        <f t="shared" si="7"/>
        <v>0</v>
      </c>
      <c r="Q20" s="28">
        <f t="shared" si="7"/>
        <v>0</v>
      </c>
      <c r="R20" s="28">
        <f>R8+R9+R10+R11+R12+R13+R14+R15+R16+R17+R18+R19</f>
        <v>2500</v>
      </c>
      <c r="S20" s="28">
        <f>S8+S9+S10+S11+S12+S13+S14+S15+S16+S17+S18+S19</f>
        <v>3090</v>
      </c>
      <c r="T20" s="28">
        <f>SUM(T9:T19)</f>
        <v>9000</v>
      </c>
      <c r="U20" s="28">
        <f>SUM(U9:U19)</f>
        <v>5900</v>
      </c>
      <c r="V20" s="28">
        <f>V8+V9+V10+V11+V12+V13+V14+V15+V16+V17+V18+V19</f>
        <v>4500</v>
      </c>
      <c r="W20" s="28">
        <f>W8+W9+W10+W11+W12+W13+W14+W15+W16+W17+W18+W19</f>
        <v>18890</v>
      </c>
      <c r="X20" s="23">
        <f>K20+L20+M20+N20+O20+P20+V20+W20+R20+S20+T20+U20</f>
        <v>184163.96</v>
      </c>
      <c r="Y20" s="25">
        <f>C20+X20</f>
        <v>585029.8362</v>
      </c>
      <c r="Z20" s="25">
        <f>B20-C20-X20</f>
        <v>-76106.73620000013</v>
      </c>
      <c r="AA20" s="23"/>
    </row>
    <row r="21" spans="4:10" ht="12.75">
      <c r="D21" s="31"/>
      <c r="E21" s="31"/>
      <c r="F21" s="31"/>
      <c r="G21" s="31"/>
      <c r="H21" s="31"/>
      <c r="I21" s="31"/>
      <c r="J21" s="31"/>
    </row>
    <row r="22" spans="1:12" ht="12.75">
      <c r="A22" s="2"/>
      <c r="B22" s="32"/>
      <c r="E22" s="33"/>
      <c r="F22" s="33"/>
      <c r="G22" s="34" t="s">
        <v>44</v>
      </c>
      <c r="H22" s="34"/>
      <c r="I22" s="34"/>
      <c r="L22" s="2"/>
    </row>
    <row r="23" spans="1:25" ht="12.75">
      <c r="A23" s="2"/>
      <c r="B23" s="32"/>
      <c r="E23" s="35" t="s">
        <v>45</v>
      </c>
      <c r="F23" s="35"/>
      <c r="G23" s="35"/>
      <c r="H23" s="35"/>
      <c r="I23" s="35"/>
      <c r="J23" s="35"/>
      <c r="K23" s="35"/>
      <c r="L23" s="2"/>
      <c r="Y23" s="36"/>
    </row>
    <row r="24" spans="1:23" ht="12.75">
      <c r="A24" s="37"/>
      <c r="B24" s="38"/>
      <c r="E24" s="35" t="s">
        <v>46</v>
      </c>
      <c r="F24" s="35"/>
      <c r="G24" s="35"/>
      <c r="H24" s="35"/>
      <c r="I24" s="35"/>
      <c r="J24" s="35"/>
      <c r="K24" s="35"/>
      <c r="L24" s="2"/>
      <c r="N24" s="34"/>
      <c r="O24" s="34"/>
      <c r="P24" s="35"/>
      <c r="Q24" s="35"/>
      <c r="R24" s="35"/>
      <c r="S24" s="35"/>
      <c r="T24" s="35"/>
      <c r="U24" s="35"/>
      <c r="V24" s="35"/>
      <c r="W24" s="35"/>
    </row>
    <row r="25" spans="1:23" ht="12.75">
      <c r="A25" s="37" t="s">
        <v>47</v>
      </c>
      <c r="C25" s="38">
        <f>B20</f>
        <v>508923.0999999999</v>
      </c>
      <c r="L25" s="2"/>
      <c r="P25" s="35"/>
      <c r="Q25" s="35"/>
      <c r="R25" s="35"/>
      <c r="S25" s="35"/>
      <c r="T25" s="35"/>
      <c r="U25" s="35"/>
      <c r="V25" s="35"/>
      <c r="W25" s="35"/>
    </row>
    <row r="26" spans="1:18" ht="15">
      <c r="A26" s="37" t="s">
        <v>48</v>
      </c>
      <c r="C26" s="38">
        <f>C20+X20</f>
        <v>585029.8362</v>
      </c>
      <c r="D26" s="36"/>
      <c r="E26" s="39" t="s">
        <v>49</v>
      </c>
      <c r="F26" s="39"/>
      <c r="G26" s="39"/>
      <c r="H26" s="39"/>
      <c r="I26" s="39"/>
      <c r="J26" s="39"/>
      <c r="K26" s="39"/>
      <c r="L26" s="39"/>
      <c r="M26" s="39">
        <v>10</v>
      </c>
      <c r="P26" s="33"/>
      <c r="Q26" s="33"/>
      <c r="R26" s="33"/>
    </row>
    <row r="27" spans="2:13" ht="15">
      <c r="B27" s="2"/>
      <c r="E27" s="40" t="s">
        <v>50</v>
      </c>
      <c r="F27" s="41"/>
      <c r="G27" s="41"/>
      <c r="H27" s="41"/>
      <c r="I27" s="41"/>
      <c r="J27" s="41"/>
      <c r="K27" s="41"/>
      <c r="L27" s="41"/>
      <c r="M27" s="42"/>
    </row>
    <row r="28" spans="1:13" ht="15.75">
      <c r="A28" s="43"/>
      <c r="B28" s="44">
        <v>8.72</v>
      </c>
      <c r="C28" s="36"/>
      <c r="E28" s="45" t="s">
        <v>51</v>
      </c>
      <c r="F28" s="46"/>
      <c r="G28" s="46"/>
      <c r="H28" s="46"/>
      <c r="I28" s="46"/>
      <c r="J28" s="46"/>
      <c r="K28" s="46"/>
      <c r="L28" s="47"/>
      <c r="M28" s="39">
        <v>1</v>
      </c>
    </row>
    <row r="29" spans="1:23" ht="15.75">
      <c r="A29" s="48"/>
      <c r="B29" s="44">
        <v>3.36</v>
      </c>
      <c r="C29" s="2"/>
      <c r="D29" s="49"/>
      <c r="E29" s="45" t="s">
        <v>52</v>
      </c>
      <c r="F29" s="46"/>
      <c r="G29" s="46"/>
      <c r="H29" s="46"/>
      <c r="I29" s="46"/>
      <c r="J29" s="46"/>
      <c r="K29" s="46"/>
      <c r="L29" s="47"/>
      <c r="M29" s="39"/>
      <c r="P29" s="50"/>
      <c r="Q29" s="50"/>
      <c r="R29" s="50"/>
      <c r="S29" s="50"/>
      <c r="T29" s="50"/>
      <c r="U29" s="50"/>
      <c r="V29" s="50"/>
      <c r="W29" s="50"/>
    </row>
    <row r="30" spans="1:13" ht="15.75">
      <c r="A30" s="48"/>
      <c r="B30" s="44">
        <f>SUM(B28:B29)</f>
        <v>12.08</v>
      </c>
      <c r="D30" s="49"/>
      <c r="E30" s="39" t="s">
        <v>53</v>
      </c>
      <c r="F30" s="39"/>
      <c r="G30" s="39"/>
      <c r="H30" s="39"/>
      <c r="I30" s="39"/>
      <c r="J30" s="39"/>
      <c r="K30" s="39"/>
      <c r="L30" s="39"/>
      <c r="M30" s="39">
        <v>5</v>
      </c>
    </row>
    <row r="31" spans="1:18" ht="15.75">
      <c r="A31" s="51"/>
      <c r="B31" s="52" t="s">
        <v>54</v>
      </c>
      <c r="C31" s="52"/>
      <c r="D31" s="49"/>
      <c r="E31" s="53" t="s">
        <v>55</v>
      </c>
      <c r="F31" s="53"/>
      <c r="G31" s="53"/>
      <c r="H31" s="53"/>
      <c r="I31" s="53"/>
      <c r="J31" s="53"/>
      <c r="K31" s="53"/>
      <c r="L31" s="53"/>
      <c r="M31" s="39">
        <v>4</v>
      </c>
      <c r="O31" s="54"/>
      <c r="R31" s="55"/>
    </row>
    <row r="32" spans="3:12" ht="15.75">
      <c r="C32" s="52"/>
      <c r="D32" s="52"/>
      <c r="E32" s="52"/>
      <c r="F32" s="52"/>
      <c r="G32" s="52"/>
      <c r="H32" s="52"/>
      <c r="I32" s="52"/>
      <c r="J32" s="52"/>
      <c r="K32" s="52"/>
      <c r="L32" s="56"/>
    </row>
  </sheetData>
  <sheetProtection/>
  <mergeCells count="22">
    <mergeCell ref="E27:M27"/>
    <mergeCell ref="E28:L28"/>
    <mergeCell ref="E29:L29"/>
    <mergeCell ref="B31:C31"/>
    <mergeCell ref="E31:L31"/>
    <mergeCell ref="C32:K32"/>
    <mergeCell ref="G22:I22"/>
    <mergeCell ref="E23:K23"/>
    <mergeCell ref="E24:K24"/>
    <mergeCell ref="N24:O24"/>
    <mergeCell ref="P24:W24"/>
    <mergeCell ref="P25:W25"/>
    <mergeCell ref="C2:O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2022-04-15T06:53:41Z</dcterms:created>
  <dcterms:modified xsi:type="dcterms:W3CDTF">2022-04-15T06:53:56Z</dcterms:modified>
  <cp:category/>
  <cp:version/>
  <cp:contentType/>
  <cp:contentStatus/>
</cp:coreProperties>
</file>