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75" windowHeight="9465" activeTab="0"/>
  </bookViews>
  <sheets>
    <sheet name="К.Марк,11" sheetId="1" r:id="rId1"/>
  </sheets>
  <externalReferences>
    <externalReference r:id="rId4"/>
    <externalReference r:id="rId5"/>
    <externalReference r:id="rId6"/>
  </externalReferences>
  <definedNames>
    <definedName name="Введенные_значения">IF(Сум_кред*Проц_став*Год_кред*Нач_кред&gt;0,1,0)</definedName>
    <definedName name="Год_кред">#REF!</definedName>
    <definedName name="Данные">#REF!</definedName>
    <definedName name="Дат_опл">#REF!</definedName>
    <definedName name="Дат_плат">DATE(YEAR(Нач_кред),MONTH(Нач_кред)+Payment_Number,DAY(Нач_кред))</definedName>
    <definedName name="Доп_плат">#REF!</definedName>
    <definedName name="Кон_сал">#REF!</definedName>
    <definedName name="Нак_проц">#REF!</definedName>
    <definedName name="Нач_кред">#REF!</definedName>
    <definedName name="Нач_сал">#REF!</definedName>
    <definedName name="Ном_плат">#REF!</definedName>
    <definedName name="Осн_сум">#REF!</definedName>
    <definedName name="План_доп_плат">#REF!</definedName>
    <definedName name="План_мес_плат">#REF!</definedName>
    <definedName name="План_плат">#REF!</definedName>
    <definedName name="План_проц_став">#REF!</definedName>
    <definedName name="Полн_печ">#REF!</definedName>
    <definedName name="Посл_строка">IF(Введенные_значения,Строка_заг+Число_платежей,Строка_заг)</definedName>
    <definedName name="Проц">#REF!</definedName>
    <definedName name="Проц_став">#REF!</definedName>
    <definedName name="Сброс_обл_печати">OFFSET(Полн_печ,0,0,Посл_строка)</definedName>
    <definedName name="Строка_заг">ROW(#REF!)</definedName>
    <definedName name="Сум_кред">#REF!</definedName>
    <definedName name="Сум_плат">#REF!</definedName>
    <definedName name="Сум_проц">#REF!</definedName>
    <definedName name="Чис_плат_в_год">#REF!</definedName>
    <definedName name="Число_платежей">MATCH(0.01,Кон_сал,-1)+1</definedName>
  </definedNames>
  <calcPr fullCalcOnLoad="1"/>
</workbook>
</file>

<file path=xl/sharedStrings.xml><?xml version="1.0" encoding="utf-8"?>
<sst xmlns="http://schemas.openxmlformats.org/spreadsheetml/2006/main" count="57" uniqueCount="57">
  <si>
    <t xml:space="preserve">                                                                         Л И Ц Е В О Й   С Ч Е Т</t>
  </si>
  <si>
    <t xml:space="preserve"> улица    Карла-Маркса,    дом     11</t>
  </si>
  <si>
    <t>Сводная  за 2021 год</t>
  </si>
  <si>
    <t>Задолженность на конец месяца по РКЦ</t>
  </si>
  <si>
    <t>ДОХОД</t>
  </si>
  <si>
    <t>РАСХОД</t>
  </si>
  <si>
    <t>Всего за тект. рем</t>
  </si>
  <si>
    <t>ИТОГ</t>
  </si>
  <si>
    <t>(+,-) за жителями</t>
  </si>
  <si>
    <t>Содержание</t>
  </si>
  <si>
    <t>в том числе содержание</t>
  </si>
  <si>
    <t>З/пл.</t>
  </si>
  <si>
    <t>Отчисления (налог)</t>
  </si>
  <si>
    <t>Электроэнергия (СОИ)</t>
  </si>
  <si>
    <t>ГСМ</t>
  </si>
  <si>
    <t>Материалы</t>
  </si>
  <si>
    <t>Услуги ЕРКЦ и банка</t>
  </si>
  <si>
    <t>прочие(комп.програм.,услуги со стороны</t>
  </si>
  <si>
    <t>отопление</t>
  </si>
  <si>
    <t>ХВС</t>
  </si>
  <si>
    <t>ЭС</t>
  </si>
  <si>
    <t>канализ</t>
  </si>
  <si>
    <t>кровля</t>
  </si>
  <si>
    <t>фасад</t>
  </si>
  <si>
    <t>пластиковые окна в подъезде</t>
  </si>
  <si>
    <t>подъезды</t>
  </si>
  <si>
    <t>дымоход</t>
  </si>
  <si>
    <t>энергоэффективность</t>
  </si>
  <si>
    <t>газораспределение</t>
  </si>
  <si>
    <t>благоуст</t>
  </si>
  <si>
    <t>прочие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</si>
  <si>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</si>
  <si>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</si>
  <si>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</si>
  <si>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</si>
  <si>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</si>
  <si>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</si>
  <si>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</si>
  <si>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</si>
  <si>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</si>
  <si>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</si>
  <si>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</si>
  <si>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</si>
  <si>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</si>
  <si>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с 01 июля 2021 г.</t>
  </si>
  <si>
    <t>СОИ(эл.энергия) 1,41 руб./м2</t>
  </si>
  <si>
    <t>СОИ(     вода )               0,05 руб./м2</t>
  </si>
  <si>
    <t>Всего получено</t>
  </si>
  <si>
    <t>Всего израсходовано</t>
  </si>
  <si>
    <t xml:space="preserve">выполнено заявок    всего                  </t>
  </si>
  <si>
    <t xml:space="preserve">в том числе                                  </t>
  </si>
  <si>
    <t>Тех. обслуживание УУТЭ</t>
  </si>
  <si>
    <t xml:space="preserve">по водоснабжению                            </t>
  </si>
  <si>
    <t xml:space="preserve">по отоплению                                     </t>
  </si>
  <si>
    <t xml:space="preserve">по электроснабжению                         </t>
  </si>
  <si>
    <t xml:space="preserve">по канализации                                  </t>
  </si>
  <si>
    <t>с 01.10.21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</si>
</sst>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&quot;р.&quot;_-;_-* \-#,##0.00\ &quot;р.&quot;;_-* &quot;-&quot;??\ &quot;р.&quot;_-;_-@_-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ylfae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u val="single"/>
      <sz val="10"/>
      <name val="Arial Cyr"/>
      <family val="0"/>
    </font>
    <font>
      <b/>
      <sz val="12"/>
      <name val="Arial"/>
      <family val="2"/>
    </font>
    <font>
      <sz val="11"/>
      <color indexed="8"/>
      <name val="Agency FB"/>
      <family val="2"/>
    </font>
    <font>
      <sz val="11"/>
      <color indexed="62"/>
      <name val="Agency FB"/>
      <family val="2"/>
    </font>
    <font>
      <b/>
      <sz val="11"/>
      <color indexed="52"/>
      <name val="Agency FB"/>
      <family val="2"/>
    </font>
    <font>
      <sz val="10"/>
      <name val="Calibri"/>
      <family val="1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3F3F76"/>
      <name val="Agency FB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1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28" borderId="1" applyNumberFormat="0" applyAlignment="0" applyProtection="0"/>
    <xf numFmtId="0" fontId="37" fillId="28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9" borderId="7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9" fillId="0" borderId="0">
      <alignment/>
      <protection/>
    </xf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30" fillId="32" borderId="8" applyNumberFormat="0" applyFont="0" applyAlignment="0" applyProtection="0"/>
    <xf numFmtId="9" fontId="3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5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1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0" fillId="34" borderId="16" xfId="0" applyFill="1" applyBorder="1" applyAlignment="1">
      <alignment/>
    </xf>
    <xf numFmtId="0" fontId="0" fillId="34" borderId="20" xfId="0" applyFill="1" applyBorder="1" applyAlignment="1">
      <alignment/>
    </xf>
    <xf numFmtId="0" fontId="19" fillId="0" borderId="16" xfId="0" applyFont="1" applyBorder="1" applyAlignment="1">
      <alignment/>
    </xf>
    <xf numFmtId="1" fontId="19" fillId="0" borderId="16" xfId="0" applyNumberFormat="1" applyFont="1" applyBorder="1" applyAlignment="1">
      <alignment/>
    </xf>
    <xf numFmtId="1" fontId="19" fillId="0" borderId="16" xfId="0" applyNumberFormat="1" applyFont="1" applyFill="1" applyBorder="1" applyAlignment="1">
      <alignment/>
    </xf>
    <xf numFmtId="0" fontId="19" fillId="0" borderId="21" xfId="0" applyFont="1" applyBorder="1" applyAlignment="1">
      <alignment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22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19" fillId="0" borderId="0" xfId="0" applyFont="1" applyBorder="1" applyAlignment="1">
      <alignment/>
    </xf>
    <xf numFmtId="2" fontId="19" fillId="0" borderId="0" xfId="0" applyNumberFormat="1" applyFont="1" applyBorder="1" applyAlignment="1">
      <alignment/>
    </xf>
    <xf numFmtId="0" fontId="23" fillId="34" borderId="16" xfId="0" applyFont="1" applyFill="1" applyBorder="1" applyAlignment="1">
      <alignment/>
    </xf>
    <xf numFmtId="0" fontId="23" fillId="34" borderId="13" xfId="0" applyFont="1" applyFill="1" applyBorder="1" applyAlignment="1">
      <alignment horizontal="center"/>
    </xf>
    <xf numFmtId="0" fontId="23" fillId="34" borderId="14" xfId="0" applyFont="1" applyFill="1" applyBorder="1" applyAlignment="1">
      <alignment horizontal="center"/>
    </xf>
    <xf numFmtId="0" fontId="23" fillId="34" borderId="15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23" fillId="34" borderId="13" xfId="0" applyFont="1" applyFill="1" applyBorder="1" applyAlignment="1">
      <alignment horizontal="left"/>
    </xf>
    <xf numFmtId="0" fontId="23" fillId="34" borderId="14" xfId="0" applyFont="1" applyFill="1" applyBorder="1" applyAlignment="1">
      <alignment horizontal="left"/>
    </xf>
    <xf numFmtId="0" fontId="23" fillId="34" borderId="15" xfId="0" applyFont="1" applyFill="1" applyBorder="1" applyAlignment="1">
      <alignment horizontal="left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right"/>
    </xf>
    <xf numFmtId="0" fontId="23" fillId="34" borderId="16" xfId="0" applyFont="1" applyFill="1" applyBorder="1" applyAlignment="1">
      <alignment horizontal="left"/>
    </xf>
    <xf numFmtId="0" fontId="25" fillId="0" borderId="0" xfId="0" applyFont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3 2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вод  2" xfId="41"/>
    <cellStyle name="Вывод" xfId="42"/>
    <cellStyle name="Вычисление" xfId="43"/>
    <cellStyle name="Вычисление 2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99;&#1077;%20&#1089;&#1095;&#1077;&#1090;&#1072;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2;&#1086;&#1080;%20&#1076;&#1086;&#1082;&#1091;&#1084;&#1077;&#1085;&#1090;&#1099;\&#1056;&#1040;&#1057;&#1055;&#1056;&#1045;&#1044;&#1045;&#1051;&#1045;&#1053;&#1048;&#1045;%20&#1050;%20&#1051;&#1048;&#1062;&#1045;&#1042;&#1067;&#1052;%20&#1057;&#1063;&#1045;&#1058;&#1040;&#1052;\2020&#1075;\&#1051;&#1080;&#1094;&#1077;&#1074;&#1099;&#1077;%20&#1089;&#1095;&#1077;&#1090;&#1072;%2020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76;&#1083;&#1103;%20&#1089;&#1090;&#1077;&#1085;&#1076;&#1072;%202021%20&#1051;&#1080;&#1094;%20&#1089;&#1095;&#1077;&#1090;%202%20&#1057;&#1086;&#1076;&#1077;&#1088;&#1078;.&#1058;&#1077;&#1082;.&#1088;&#1077;&#1084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21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2А"/>
      <sheetName val="Кир 4"/>
      <sheetName val="Кир 8"/>
      <sheetName val="Кир 12"/>
      <sheetName val="Кир 14"/>
      <sheetName val="Нефт 13"/>
      <sheetName val="Нефт 17"/>
      <sheetName val="Нефт 36А"/>
      <sheetName val="Нефт 38"/>
      <sheetName val="Окт 4"/>
      <sheetName val="Окт 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Шк 3"/>
      <sheetName val="Раб 40"/>
      <sheetName val="Раб 42"/>
      <sheetName val="Шк 1"/>
      <sheetName val="Шк 7"/>
      <sheetName val="Лен18"/>
      <sheetName val="Окт 29"/>
      <sheetName val="Димитр37"/>
      <sheetName val="Димитр23(1пол"/>
      <sheetName val="Димитр.23 2пол"/>
      <sheetName val="Окт 22"/>
    </sheetNames>
    <sheetDataSet>
      <sheetData sheetId="17">
        <row r="8">
          <cell r="L8">
            <v>4274.71</v>
          </cell>
          <cell r="Q8">
            <v>65.94411560092705</v>
          </cell>
          <cell r="R8">
            <v>44.26124332162133</v>
          </cell>
          <cell r="AE8">
            <v>66889.79</v>
          </cell>
        </row>
        <row r="9">
          <cell r="L9">
            <v>6224.2300000000005</v>
          </cell>
          <cell r="Q9">
            <v>42.29716195776646</v>
          </cell>
          <cell r="R9">
            <v>59.11256219148531</v>
          </cell>
          <cell r="AE9">
            <v>68240.68</v>
          </cell>
        </row>
        <row r="10">
          <cell r="L10">
            <v>5372.12</v>
          </cell>
          <cell r="Q10">
            <v>75.28669346486205</v>
          </cell>
          <cell r="R10">
            <v>105.44750511015656</v>
          </cell>
          <cell r="AE10">
            <v>70443.68</v>
          </cell>
        </row>
        <row r="11">
          <cell r="L11">
            <v>4337.85</v>
          </cell>
          <cell r="Q11">
            <v>65.87656284808668</v>
          </cell>
          <cell r="R11">
            <v>75.90568976366256</v>
          </cell>
          <cell r="AE11">
            <v>73157.54</v>
          </cell>
        </row>
        <row r="12">
          <cell r="L12">
            <v>4327.299999999999</v>
          </cell>
          <cell r="Q12">
            <v>87.90316888334773</v>
          </cell>
          <cell r="R12">
            <v>467.0821162106283</v>
          </cell>
          <cell r="AE12">
            <v>76928.77</v>
          </cell>
        </row>
        <row r="13">
          <cell r="L13">
            <v>6085.28</v>
          </cell>
          <cell r="Q13">
            <v>83.15234129201957</v>
          </cell>
          <cell r="AE13">
            <v>78938.52</v>
          </cell>
        </row>
        <row r="14">
          <cell r="L14">
            <v>5390.51</v>
          </cell>
          <cell r="Q14">
            <v>72.86430042640006</v>
          </cell>
          <cell r="R14">
            <v>110.85815455927586</v>
          </cell>
          <cell r="AE14">
            <v>81161.19</v>
          </cell>
        </row>
        <row r="15">
          <cell r="L15">
            <v>8782.55</v>
          </cell>
          <cell r="Q15">
            <v>53.20980172983197</v>
          </cell>
          <cell r="R15">
            <v>109.02674478138697</v>
          </cell>
          <cell r="AE15">
            <v>79991.82</v>
          </cell>
        </row>
        <row r="16">
          <cell r="L16">
            <v>11188.090000000002</v>
          </cell>
          <cell r="Q16">
            <v>83.45529541199782</v>
          </cell>
          <cell r="R16">
            <v>92.6717227578821</v>
          </cell>
          <cell r="AE16">
            <v>76416.91</v>
          </cell>
        </row>
        <row r="17">
          <cell r="L17">
            <v>3490.77</v>
          </cell>
          <cell r="Q17">
            <v>73.69794089024205</v>
          </cell>
          <cell r="R17">
            <v>64.29956656491953</v>
          </cell>
          <cell r="AE17">
            <v>80326.03</v>
          </cell>
        </row>
        <row r="18">
          <cell r="L18">
            <v>6894.33</v>
          </cell>
          <cell r="Q18">
            <v>52.14282643445907</v>
          </cell>
          <cell r="R18">
            <v>8.78048017884571</v>
          </cell>
          <cell r="AE18">
            <v>80831.59</v>
          </cell>
        </row>
        <row r="19">
          <cell r="L19">
            <v>10214.1</v>
          </cell>
          <cell r="Q19">
            <v>46.323691780366836</v>
          </cell>
          <cell r="R19">
            <v>363.5225335433416</v>
          </cell>
          <cell r="AE19">
            <v>79115.88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20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4"/>
      <sheetName val="Кир 2А"/>
      <sheetName val="Кир 12"/>
      <sheetName val="Кир 8"/>
      <sheetName val="Кир 14"/>
      <sheetName val="Нефт 13"/>
      <sheetName val="Нефт 36А"/>
      <sheetName val="Нефт 38"/>
      <sheetName val="Окт 4"/>
      <sheetName val="Окт 7"/>
      <sheetName val="Нефт 1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Шк 3"/>
      <sheetName val="Раб 40"/>
      <sheetName val="Раб 42"/>
      <sheetName val="Шк 1"/>
      <sheetName val="Шк 7"/>
      <sheetName val="Лен18"/>
      <sheetName val="Окт 29"/>
      <sheetName val="Димитр37"/>
      <sheetName val="Димитр23(1пол"/>
      <sheetName val="Димитр.23 2пол"/>
      <sheetName val="Окт 22"/>
      <sheetName val="Дитр.23 2пол"/>
    </sheetNames>
    <sheetDataSet>
      <sheetData sheetId="17">
        <row r="8">
          <cell r="S8">
            <v>237.27429131996422</v>
          </cell>
        </row>
        <row r="9">
          <cell r="S9">
            <v>238.25892665215366</v>
          </cell>
        </row>
        <row r="10">
          <cell r="S10">
            <v>250.19237262975193</v>
          </cell>
        </row>
        <row r="11">
          <cell r="S11">
            <v>220.13485830307627</v>
          </cell>
        </row>
        <row r="12">
          <cell r="S12">
            <v>235.98491087027043</v>
          </cell>
        </row>
        <row r="13">
          <cell r="S13">
            <v>250.51283987915411</v>
          </cell>
        </row>
        <row r="14">
          <cell r="S14">
            <v>248.62480702563477</v>
          </cell>
        </row>
        <row r="15">
          <cell r="S15">
            <v>239.835371859159</v>
          </cell>
        </row>
        <row r="16">
          <cell r="S16">
            <v>257.7249573013683</v>
          </cell>
        </row>
        <row r="17">
          <cell r="S17">
            <v>224.4614490958052</v>
          </cell>
        </row>
        <row r="18">
          <cell r="S18">
            <v>236.86057089145365</v>
          </cell>
        </row>
        <row r="19">
          <cell r="S19">
            <v>279.6795560514807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ц.счетСвод"/>
      <sheetName val="Дим8"/>
      <sheetName val="Дим12"/>
      <sheetName val="Дим14"/>
      <sheetName val="К.Марк,1"/>
      <sheetName val="К.Марк,2"/>
      <sheetName val="К.Мар,3"/>
      <sheetName val="К.Мар,4"/>
      <sheetName val="К.Мар,6"/>
      <sheetName val="К.Мар,5"/>
      <sheetName val="К.Мар,7"/>
      <sheetName val="К.Мар,8"/>
      <sheetName val="К.Марк,9"/>
      <sheetName val="К.Марк,11"/>
      <sheetName val="К.Марк,13"/>
      <sheetName val="К.Мар,15"/>
      <sheetName val="Кир,1."/>
      <sheetName val="Кир,2"/>
      <sheetName val="Кир.,4"/>
      <sheetName val="Кир.8"/>
      <sheetName val="Кир.,12"/>
      <sheetName val="Кир,14"/>
      <sheetName val="Нефтян,13"/>
      <sheetName val="Нефтян,17"/>
      <sheetName val="Нефтян,36"/>
      <sheetName val="Нефтян,38"/>
      <sheetName val="Октябр,4"/>
      <sheetName val="Октяб,7"/>
      <sheetName val="Октяб,9"/>
      <sheetName val="Октяб,8"/>
      <sheetName val="Октябр,10"/>
      <sheetName val="Октябр,11"/>
      <sheetName val="Октябр,12"/>
      <sheetName val="Октябр,13"/>
      <sheetName val="Октяб,14"/>
      <sheetName val="Октяб,15"/>
      <sheetName val="Октяб,16"/>
      <sheetName val="Октяб,17"/>
      <sheetName val="Октяб,19"/>
      <sheetName val="Раб,23"/>
      <sheetName val="Раб,25"/>
      <sheetName val="Раб,27"/>
      <sheetName val="Раб.36"/>
      <sheetName val="Раб,38"/>
      <sheetName val="Раб,40"/>
      <sheetName val="Раб,42"/>
      <sheetName val="Школьн,1"/>
      <sheetName val="Школьн,3"/>
      <sheetName val="Школьн,7"/>
      <sheetName val="Ленин,18"/>
      <sheetName val="Димитрова37"/>
      <sheetName val="Октябр29"/>
      <sheetName val="Димитр,23(1пол)"/>
      <sheetName val="Димитр23(2пол)"/>
      <sheetName val="Димитр,23общая"/>
      <sheetName val="Октябр22"/>
      <sheetName val="Лист1"/>
      <sheetName val="Лист4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3"/>
  <sheetViews>
    <sheetView tabSelected="1" zoomScalePageLayoutView="0" workbookViewId="0" topLeftCell="A3">
      <selection activeCell="B24" sqref="B24"/>
    </sheetView>
  </sheetViews>
  <sheetFormatPr defaultColWidth="9.140625" defaultRowHeight="12.75"/>
  <cols>
    <col min="1" max="1" width="15.57421875" style="0" customWidth="1"/>
    <col min="2" max="2" width="10.421875" style="0" customWidth="1"/>
    <col min="3" max="3" width="10.28125" style="0" bestFit="1" customWidth="1"/>
    <col min="4" max="4" width="6.140625" style="0" customWidth="1"/>
    <col min="5" max="5" width="5.8515625" style="0" customWidth="1"/>
    <col min="6" max="6" width="8.28125" style="0" customWidth="1"/>
    <col min="7" max="7" width="6.28125" style="0" customWidth="1"/>
    <col min="8" max="8" width="8.00390625" style="0" customWidth="1"/>
    <col min="9" max="9" width="7.28125" style="0" customWidth="1"/>
    <col min="10" max="10" width="5.8515625" style="0" customWidth="1"/>
    <col min="11" max="11" width="4.421875" style="0" customWidth="1"/>
    <col min="12" max="12" width="5.140625" style="0" customWidth="1"/>
    <col min="13" max="13" width="4.7109375" style="0" customWidth="1"/>
    <col min="14" max="14" width="4.140625" style="0" customWidth="1"/>
    <col min="15" max="15" width="4.7109375" style="0" customWidth="1"/>
    <col min="16" max="16" width="5.7109375" style="0" customWidth="1"/>
    <col min="17" max="17" width="4.421875" style="0" customWidth="1"/>
    <col min="18" max="18" width="4.00390625" style="0" customWidth="1"/>
    <col min="19" max="19" width="5.7109375" style="0" customWidth="1"/>
    <col min="20" max="20" width="5.421875" style="0" customWidth="1"/>
    <col min="21" max="21" width="5.7109375" style="0" customWidth="1"/>
    <col min="22" max="22" width="4.421875" style="0" customWidth="1"/>
    <col min="23" max="23" width="6.57421875" style="0" customWidth="1"/>
    <col min="24" max="24" width="7.8515625" style="0" customWidth="1"/>
    <col min="25" max="25" width="8.8515625" style="0" customWidth="1"/>
    <col min="26" max="26" width="8.28125" style="0" customWidth="1"/>
    <col min="27" max="27" width="9.00390625" style="0" customWidth="1"/>
  </cols>
  <sheetData>
    <row r="1" spans="1:12" ht="15">
      <c r="A1" s="1" t="s">
        <v>0</v>
      </c>
      <c r="L1" s="2"/>
    </row>
    <row r="2" spans="1:15" ht="14.25">
      <c r="A2" s="2"/>
      <c r="B2">
        <f>590.1+43.8</f>
        <v>633.9</v>
      </c>
      <c r="C2" s="3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2:27" ht="18.75" customHeight="1">
      <c r="B3" s="2"/>
      <c r="C3" s="2" t="s">
        <v>2</v>
      </c>
      <c r="D3" s="2"/>
      <c r="E3" s="2"/>
      <c r="F3" s="2"/>
      <c r="G3" s="2"/>
      <c r="H3" s="2"/>
      <c r="I3" s="2"/>
      <c r="J3" s="2"/>
      <c r="AA3" s="4" t="s">
        <v>3</v>
      </c>
    </row>
    <row r="4" ht="12.75">
      <c r="AA4" s="5"/>
    </row>
    <row r="5" spans="1:27" ht="12.75" customHeight="1">
      <c r="A5" s="6">
        <v>2021</v>
      </c>
      <c r="B5" s="6" t="s">
        <v>4</v>
      </c>
      <c r="C5" s="7" t="s">
        <v>5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9"/>
      <c r="X5" s="4" t="s">
        <v>6</v>
      </c>
      <c r="Y5" s="4" t="s">
        <v>7</v>
      </c>
      <c r="Z5" s="10" t="s">
        <v>8</v>
      </c>
      <c r="AA5" s="5"/>
    </row>
    <row r="6" spans="1:27" ht="12.75">
      <c r="A6" s="11"/>
      <c r="B6" s="11"/>
      <c r="C6" s="12" t="s">
        <v>9</v>
      </c>
      <c r="D6" s="13" t="s">
        <v>10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9"/>
      <c r="X6" s="14"/>
      <c r="Y6" s="14"/>
      <c r="Z6" s="10"/>
      <c r="AA6" s="5"/>
    </row>
    <row r="7" spans="1:27" ht="114.75">
      <c r="A7" s="15"/>
      <c r="B7" s="15"/>
      <c r="C7" s="16"/>
      <c r="D7" s="17" t="s">
        <v>11</v>
      </c>
      <c r="E7" s="17" t="s">
        <v>12</v>
      </c>
      <c r="F7" s="17" t="s">
        <v>13</v>
      </c>
      <c r="G7" s="17" t="s">
        <v>14</v>
      </c>
      <c r="H7" s="17" t="s">
        <v>15</v>
      </c>
      <c r="I7" s="17" t="s">
        <v>16</v>
      </c>
      <c r="J7" s="17" t="s">
        <v>17</v>
      </c>
      <c r="K7" s="18" t="s">
        <v>18</v>
      </c>
      <c r="L7" s="19" t="s">
        <v>19</v>
      </c>
      <c r="M7" s="19" t="s">
        <v>20</v>
      </c>
      <c r="N7" s="20" t="s">
        <v>21</v>
      </c>
      <c r="O7" s="18" t="s">
        <v>22</v>
      </c>
      <c r="P7" s="19" t="s">
        <v>23</v>
      </c>
      <c r="Q7" s="18" t="s">
        <v>24</v>
      </c>
      <c r="R7" s="18" t="s">
        <v>25</v>
      </c>
      <c r="S7" s="19" t="s">
        <v>26</v>
      </c>
      <c r="T7" s="18" t="s">
        <v>27</v>
      </c>
      <c r="U7" s="18" t="s">
        <v>28</v>
      </c>
      <c r="V7" s="18" t="s">
        <v>29</v>
      </c>
      <c r="W7" s="19" t="s">
        <v>30</v>
      </c>
      <c r="X7" s="21"/>
      <c r="Y7" s="21"/>
      <c r="Z7" s="10"/>
      <c r="AA7" s="22"/>
    </row>
    <row r="8" spans="1:27" ht="19.5" customHeight="1">
      <c r="A8" s="23" t="s">
        <v>31</v>
      </c>
      <c r="B8" s="24">
        <f>'[1]КМар 11'!$L$8</f>
        <v>4274.71</v>
      </c>
      <c r="C8" s="24">
        <f>7.39*B2+(1.36+0.04)*B2</f>
        <v>5571.981</v>
      </c>
      <c r="D8" s="25">
        <f>C8*60/100</f>
        <v>3343.1886</v>
      </c>
      <c r="E8" s="25">
        <f>D8*28/100</f>
        <v>936.0928079999999</v>
      </c>
      <c r="F8" s="24">
        <v>566.72</v>
      </c>
      <c r="G8" s="24">
        <f>'[1]КМар 11'!$Q8</f>
        <v>65.94411560092705</v>
      </c>
      <c r="H8" s="24">
        <f>'[1]КМар 11'!$R8</f>
        <v>44.26124332162133</v>
      </c>
      <c r="I8" s="24">
        <f>'[2]КМар 11'!$S8</f>
        <v>237.27429131996422</v>
      </c>
      <c r="J8" s="25">
        <f>C8-(D8+E8+F8+G8+H8+I8)</f>
        <v>378.49994175748725</v>
      </c>
      <c r="K8" s="26"/>
      <c r="L8" s="26">
        <v>66.67</v>
      </c>
      <c r="M8" s="27"/>
      <c r="N8" s="27"/>
      <c r="O8" s="26"/>
      <c r="P8" s="26"/>
      <c r="Q8" s="26"/>
      <c r="R8" s="26"/>
      <c r="S8" s="26"/>
      <c r="T8" s="26"/>
      <c r="U8" s="26"/>
      <c r="V8" s="26"/>
      <c r="W8" s="26">
        <v>4138</v>
      </c>
      <c r="X8" s="23">
        <f>SUM(K8:W8)</f>
        <v>4204.67</v>
      </c>
      <c r="Y8" s="24">
        <f>C8+X8</f>
        <v>9776.651</v>
      </c>
      <c r="Z8" s="24">
        <f>B8-C8-X8</f>
        <v>-5501.941</v>
      </c>
      <c r="AA8" s="24">
        <f>'[1]КМар 11'!$AE$8</f>
        <v>66889.79</v>
      </c>
    </row>
    <row r="9" spans="1:27" ht="19.5" customHeight="1">
      <c r="A9" s="23" t="s">
        <v>32</v>
      </c>
      <c r="B9" s="24">
        <f>'[1]КМар 11'!$L$9</f>
        <v>6224.2300000000005</v>
      </c>
      <c r="C9" s="24">
        <f>7.39*B2+(1.36+0.04)*B2</f>
        <v>5571.981</v>
      </c>
      <c r="D9" s="25">
        <f>C9*57.5/100</f>
        <v>3203.8890749999996</v>
      </c>
      <c r="E9" s="25">
        <f aca="true" t="shared" si="0" ref="E9:E20">D9*28/100</f>
        <v>897.0889409999999</v>
      </c>
      <c r="F9" s="24">
        <v>1847.36</v>
      </c>
      <c r="G9" s="24">
        <f>'[1]КМар 11'!$Q9</f>
        <v>42.29716195776646</v>
      </c>
      <c r="H9" s="24">
        <f>'[1]КМар 11'!$R9</f>
        <v>59.11256219148531</v>
      </c>
      <c r="I9" s="24">
        <f>'[2]КМар 11'!$S9</f>
        <v>238.25892665215366</v>
      </c>
      <c r="J9" s="25">
        <f aca="true" t="shared" si="1" ref="J9:J19">C9-(D9+E9+F9+G9+H9+I9)</f>
        <v>-716.0256668014044</v>
      </c>
      <c r="K9" s="26"/>
      <c r="L9" s="26">
        <v>66.67</v>
      </c>
      <c r="M9" s="26"/>
      <c r="N9" s="26"/>
      <c r="O9" s="26"/>
      <c r="P9" s="26"/>
      <c r="Q9" s="26"/>
      <c r="R9" s="26"/>
      <c r="S9" s="26"/>
      <c r="T9" s="26">
        <v>9000</v>
      </c>
      <c r="U9" s="26"/>
      <c r="V9" s="26"/>
      <c r="W9" s="26">
        <f>499</f>
        <v>499</v>
      </c>
      <c r="X9" s="23">
        <f>K9+L9+M9+N9+O9+P9+V9+W9+R9+S9+T9+U9</f>
        <v>9565.67</v>
      </c>
      <c r="Y9" s="24">
        <f aca="true" t="shared" si="2" ref="Y9:Y19">C9+X9</f>
        <v>15137.651</v>
      </c>
      <c r="Z9" s="24">
        <f aca="true" t="shared" si="3" ref="Z9:Z19">B9-C9-X9</f>
        <v>-8913.420999999998</v>
      </c>
      <c r="AA9" s="24">
        <f>'[1]КМар 11'!$AE$9</f>
        <v>68240.68</v>
      </c>
    </row>
    <row r="10" spans="1:27" ht="19.5" customHeight="1">
      <c r="A10" s="23" t="s">
        <v>33</v>
      </c>
      <c r="B10" s="24">
        <f>'[1]КМар 11'!$L$10</f>
        <v>5372.12</v>
      </c>
      <c r="C10" s="24">
        <f>7.39*B2+(1.36+0.04)*B2</f>
        <v>5571.981</v>
      </c>
      <c r="D10" s="25">
        <f aca="true" t="shared" si="4" ref="D10:D18">C10*60/100</f>
        <v>3343.1886</v>
      </c>
      <c r="E10" s="25">
        <f t="shared" si="0"/>
        <v>936.0928079999999</v>
      </c>
      <c r="F10" s="24">
        <v>0</v>
      </c>
      <c r="G10" s="24">
        <f>'[1]КМар 11'!$Q10</f>
        <v>75.28669346486205</v>
      </c>
      <c r="H10" s="24">
        <f>'[1]КМар 11'!$R10</f>
        <v>105.44750511015656</v>
      </c>
      <c r="I10" s="24">
        <f>'[2]КМар 11'!$S10</f>
        <v>250.19237262975193</v>
      </c>
      <c r="J10" s="25">
        <f t="shared" si="1"/>
        <v>861.77302079523</v>
      </c>
      <c r="K10" s="26"/>
      <c r="L10" s="26">
        <v>66.67</v>
      </c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3">
        <f aca="true" t="shared" si="5" ref="X10:X19">K10+L10+M10+N10+O10+P10+V10+W10+R10+S10</f>
        <v>66.67</v>
      </c>
      <c r="Y10" s="24">
        <f t="shared" si="2"/>
        <v>5638.651</v>
      </c>
      <c r="Z10" s="24">
        <f t="shared" si="3"/>
        <v>-266.5309999999999</v>
      </c>
      <c r="AA10" s="24">
        <f>'[1]КМар 11'!$AE$10</f>
        <v>70443.68</v>
      </c>
    </row>
    <row r="11" spans="1:27" ht="19.5" customHeight="1">
      <c r="A11" s="23" t="s">
        <v>34</v>
      </c>
      <c r="B11" s="24">
        <f>'[1]КМар 11'!$L$11</f>
        <v>4337.85</v>
      </c>
      <c r="C11" s="24">
        <f>7.39*B2+(1.36+0.04)*B2</f>
        <v>5571.981</v>
      </c>
      <c r="D11" s="25">
        <f t="shared" si="4"/>
        <v>3343.1886</v>
      </c>
      <c r="E11" s="25">
        <f t="shared" si="0"/>
        <v>936.0928079999999</v>
      </c>
      <c r="F11" s="24">
        <v>0</v>
      </c>
      <c r="G11" s="24">
        <f>'[1]КМар 11'!$Q11</f>
        <v>65.87656284808668</v>
      </c>
      <c r="H11" s="24">
        <f>'[1]КМар 11'!$R11</f>
        <v>75.90568976366256</v>
      </c>
      <c r="I11" s="24">
        <f>'[2]КМар 11'!$S11</f>
        <v>220.13485830307627</v>
      </c>
      <c r="J11" s="25">
        <f t="shared" si="1"/>
        <v>930.7824810851744</v>
      </c>
      <c r="K11" s="26"/>
      <c r="L11" s="26">
        <v>66.67</v>
      </c>
      <c r="M11" s="26"/>
      <c r="N11" s="26"/>
      <c r="O11" s="26"/>
      <c r="P11" s="26"/>
      <c r="Q11" s="26"/>
      <c r="R11" s="26"/>
      <c r="S11" s="26"/>
      <c r="T11" s="26"/>
      <c r="U11" s="26">
        <v>2817</v>
      </c>
      <c r="V11" s="26"/>
      <c r="W11" s="26">
        <v>3908</v>
      </c>
      <c r="X11" s="23">
        <f>K11+L11+M11+N11+O11+P11+V11+W11+R11+S11+T11+U11</f>
        <v>6791.67</v>
      </c>
      <c r="Y11" s="24">
        <f t="shared" si="2"/>
        <v>12363.651</v>
      </c>
      <c r="Z11" s="24">
        <f t="shared" si="3"/>
        <v>-8025.8009999999995</v>
      </c>
      <c r="AA11" s="24">
        <f>'[1]КМар 11'!$AE$11</f>
        <v>73157.54</v>
      </c>
    </row>
    <row r="12" spans="1:27" ht="19.5" customHeight="1">
      <c r="A12" s="23" t="s">
        <v>35</v>
      </c>
      <c r="B12" s="24">
        <f>'[1]КМар 11'!$L$12</f>
        <v>4327.299999999999</v>
      </c>
      <c r="C12" s="24">
        <f>7.39*B2+(1.36+0.04)*B2</f>
        <v>5571.981</v>
      </c>
      <c r="D12" s="25">
        <f t="shared" si="4"/>
        <v>3343.1886</v>
      </c>
      <c r="E12" s="25">
        <f t="shared" si="0"/>
        <v>936.0928079999999</v>
      </c>
      <c r="F12" s="24">
        <v>187.68</v>
      </c>
      <c r="G12" s="24">
        <f>'[1]КМар 11'!$Q12</f>
        <v>87.90316888334773</v>
      </c>
      <c r="H12" s="24">
        <f>'[1]КМар 11'!$R12</f>
        <v>467.0821162106283</v>
      </c>
      <c r="I12" s="24">
        <f>'[2]КМар 11'!$S12</f>
        <v>235.98491087027043</v>
      </c>
      <c r="J12" s="25">
        <f t="shared" si="1"/>
        <v>314.0493960357535</v>
      </c>
      <c r="K12" s="26"/>
      <c r="L12" s="26">
        <v>66.67</v>
      </c>
      <c r="M12" s="26"/>
      <c r="N12" s="26"/>
      <c r="O12" s="26"/>
      <c r="P12" s="26"/>
      <c r="Q12" s="26"/>
      <c r="R12" s="26"/>
      <c r="S12" s="26">
        <v>1700</v>
      </c>
      <c r="T12" s="26"/>
      <c r="U12" s="26"/>
      <c r="V12" s="26"/>
      <c r="W12" s="26"/>
      <c r="X12" s="23">
        <f t="shared" si="5"/>
        <v>1766.67</v>
      </c>
      <c r="Y12" s="24">
        <f t="shared" si="2"/>
        <v>7338.651</v>
      </c>
      <c r="Z12" s="24">
        <f t="shared" si="3"/>
        <v>-3011.3510000000006</v>
      </c>
      <c r="AA12" s="24">
        <f>'[1]КМар 11'!$AE$12</f>
        <v>76928.77</v>
      </c>
    </row>
    <row r="13" spans="1:27" ht="19.5" customHeight="1">
      <c r="A13" s="23" t="s">
        <v>36</v>
      </c>
      <c r="B13" s="24">
        <f>'[1]КМар 11'!$L$13</f>
        <v>6085.28</v>
      </c>
      <c r="C13" s="24">
        <f>7.39*B2+(1.36+0.04)*B2</f>
        <v>5571.981</v>
      </c>
      <c r="D13" s="25">
        <f>C13*58.5/100</f>
        <v>3259.608885</v>
      </c>
      <c r="E13" s="25">
        <f t="shared" si="0"/>
        <v>912.6904878</v>
      </c>
      <c r="F13" s="24">
        <v>868.48</v>
      </c>
      <c r="G13" s="24">
        <f>'[1]КМар 11'!$Q13</f>
        <v>83.15234129201957</v>
      </c>
      <c r="H13" s="24">
        <v>164.46</v>
      </c>
      <c r="I13" s="24">
        <f>'[2]КМар 11'!$S13</f>
        <v>250.51283987915411</v>
      </c>
      <c r="J13" s="25">
        <f t="shared" si="1"/>
        <v>33.07644602882647</v>
      </c>
      <c r="K13" s="26"/>
      <c r="L13" s="26">
        <v>66.67</v>
      </c>
      <c r="M13" s="26"/>
      <c r="N13" s="26"/>
      <c r="O13" s="26"/>
      <c r="P13" s="26"/>
      <c r="Q13" s="26"/>
      <c r="R13" s="26"/>
      <c r="S13" s="26"/>
      <c r="T13" s="26"/>
      <c r="U13" s="26">
        <v>2817</v>
      </c>
      <c r="V13" s="26"/>
      <c r="W13" s="26"/>
      <c r="X13" s="23">
        <f>K13+L13+M13+N13+O13+P13+V13+W13+R13+S13+T13+U13</f>
        <v>2883.67</v>
      </c>
      <c r="Y13" s="24">
        <f t="shared" si="2"/>
        <v>8455.651</v>
      </c>
      <c r="Z13" s="24">
        <f t="shared" si="3"/>
        <v>-2370.371</v>
      </c>
      <c r="AA13" s="24">
        <f>'[1]КМар 11'!$AE$13</f>
        <v>78938.52</v>
      </c>
    </row>
    <row r="14" spans="1:27" ht="19.5" customHeight="1">
      <c r="A14" s="23" t="s">
        <v>37</v>
      </c>
      <c r="B14" s="24">
        <f>'[1]КМар 11'!$L$14</f>
        <v>5390.51</v>
      </c>
      <c r="C14" s="24">
        <f>7.39*B2+(1.41+0.05)*B2</f>
        <v>5610.014999999999</v>
      </c>
      <c r="D14" s="25">
        <f t="shared" si="4"/>
        <v>3366.0089999999996</v>
      </c>
      <c r="E14" s="25">
        <f t="shared" si="0"/>
        <v>942.4825199999999</v>
      </c>
      <c r="F14" s="24">
        <v>287.25</v>
      </c>
      <c r="G14" s="24">
        <f>'[1]КМар 11'!$Q14</f>
        <v>72.86430042640006</v>
      </c>
      <c r="H14" s="24">
        <f>'[1]КМар 11'!$R14</f>
        <v>110.85815455927586</v>
      </c>
      <c r="I14" s="24">
        <f>'[2]КМар 11'!$S14</f>
        <v>248.62480702563477</v>
      </c>
      <c r="J14" s="25">
        <f t="shared" si="1"/>
        <v>581.9262179886882</v>
      </c>
      <c r="K14" s="26"/>
      <c r="L14" s="26">
        <v>66.67</v>
      </c>
      <c r="M14" s="26"/>
      <c r="N14" s="26"/>
      <c r="O14" s="26"/>
      <c r="P14" s="26">
        <f>4790+1200</f>
        <v>5990</v>
      </c>
      <c r="Q14" s="26"/>
      <c r="R14" s="26"/>
      <c r="S14" s="26"/>
      <c r="T14" s="26"/>
      <c r="U14" s="26"/>
      <c r="V14" s="26"/>
      <c r="W14" s="26"/>
      <c r="X14" s="23">
        <f t="shared" si="5"/>
        <v>6056.67</v>
      </c>
      <c r="Y14" s="24">
        <f t="shared" si="2"/>
        <v>11666.685</v>
      </c>
      <c r="Z14" s="24">
        <f t="shared" si="3"/>
        <v>-6276.174999999999</v>
      </c>
      <c r="AA14" s="24">
        <f>'[1]КМар 11'!$AE$14</f>
        <v>81161.19</v>
      </c>
    </row>
    <row r="15" spans="1:27" ht="19.5" customHeight="1">
      <c r="A15" s="23" t="s">
        <v>38</v>
      </c>
      <c r="B15" s="24">
        <f>'[1]КМар 11'!$L$15</f>
        <v>8782.55</v>
      </c>
      <c r="C15" s="24">
        <f>7.39*B2+(1.41+0.05)*B2</f>
        <v>5610.014999999999</v>
      </c>
      <c r="D15" s="25">
        <f>C15*57.6/100</f>
        <v>3231.36864</v>
      </c>
      <c r="E15" s="25">
        <f t="shared" si="0"/>
        <v>904.7832192000001</v>
      </c>
      <c r="F15" s="24">
        <v>1233.26</v>
      </c>
      <c r="G15" s="24">
        <f>'[1]КМар 11'!$Q15</f>
        <v>53.20980172983197</v>
      </c>
      <c r="H15" s="24">
        <f>'[1]КМар 11'!$R15</f>
        <v>109.02674478138697</v>
      </c>
      <c r="I15" s="24">
        <f>'[2]КМар 11'!$S15</f>
        <v>239.835371859159</v>
      </c>
      <c r="J15" s="25">
        <f t="shared" si="1"/>
        <v>-161.46877757037873</v>
      </c>
      <c r="K15" s="26"/>
      <c r="L15" s="26">
        <v>66.67</v>
      </c>
      <c r="M15" s="26"/>
      <c r="N15" s="26"/>
      <c r="O15" s="26"/>
      <c r="P15" s="26">
        <v>6500</v>
      </c>
      <c r="Q15" s="26"/>
      <c r="R15" s="26"/>
      <c r="S15" s="26"/>
      <c r="T15" s="26"/>
      <c r="U15" s="26"/>
      <c r="V15" s="26"/>
      <c r="W15" s="26"/>
      <c r="X15" s="23">
        <f>K17+L15+M15+N15+O15+P15+V15+W15+R15+S15</f>
        <v>6566.67</v>
      </c>
      <c r="Y15" s="24">
        <f t="shared" si="2"/>
        <v>12176.685</v>
      </c>
      <c r="Z15" s="24">
        <f t="shared" si="3"/>
        <v>-3394.135</v>
      </c>
      <c r="AA15" s="24">
        <f>'[1]КМар 11'!$AE$15</f>
        <v>79991.82</v>
      </c>
    </row>
    <row r="16" spans="1:27" ht="19.5" customHeight="1">
      <c r="A16" s="23" t="s">
        <v>39</v>
      </c>
      <c r="B16" s="24">
        <f>'[1]КМар 11'!$L$16</f>
        <v>11188.090000000002</v>
      </c>
      <c r="C16" s="24">
        <f>7.39*B2+(1.41+0.05)*B2</f>
        <v>5610.014999999999</v>
      </c>
      <c r="D16" s="25">
        <f t="shared" si="4"/>
        <v>3366.0089999999996</v>
      </c>
      <c r="E16" s="25">
        <f t="shared" si="0"/>
        <v>942.4825199999999</v>
      </c>
      <c r="F16" s="24">
        <v>237.46</v>
      </c>
      <c r="G16" s="24">
        <f>'[1]КМар 11'!$Q16</f>
        <v>83.45529541199782</v>
      </c>
      <c r="H16" s="24">
        <f>'[1]КМар 11'!$R16</f>
        <v>92.6717227578821</v>
      </c>
      <c r="I16" s="24">
        <f>'[2]КМар 11'!$S16</f>
        <v>257.7249573013683</v>
      </c>
      <c r="J16" s="25">
        <f t="shared" si="1"/>
        <v>630.211504528751</v>
      </c>
      <c r="K16" s="26"/>
      <c r="L16" s="26">
        <v>66.67</v>
      </c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3">
        <f t="shared" si="5"/>
        <v>66.67</v>
      </c>
      <c r="Y16" s="24">
        <f t="shared" si="2"/>
        <v>5676.6849999999995</v>
      </c>
      <c r="Z16" s="24">
        <f t="shared" si="3"/>
        <v>5511.4050000000025</v>
      </c>
      <c r="AA16" s="24">
        <f>'[1]КМар 11'!$AE$16</f>
        <v>76416.91</v>
      </c>
    </row>
    <row r="17" spans="1:27" ht="19.5" customHeight="1">
      <c r="A17" s="23" t="s">
        <v>40</v>
      </c>
      <c r="B17" s="24">
        <f>'[1]КМар 11'!$L$17</f>
        <v>3490.77</v>
      </c>
      <c r="C17" s="24">
        <f>7.78*B2+(1.41+0.05)*B2</f>
        <v>5857.236</v>
      </c>
      <c r="D17" s="25">
        <f t="shared" si="4"/>
        <v>3514.3415999999997</v>
      </c>
      <c r="E17" s="25">
        <f t="shared" si="0"/>
        <v>984.0156479999999</v>
      </c>
      <c r="F17" s="24">
        <v>149.37</v>
      </c>
      <c r="G17" s="24">
        <f>'[1]КМар 11'!$Q17</f>
        <v>73.69794089024205</v>
      </c>
      <c r="H17" s="24">
        <f>'[1]КМар 11'!$R17</f>
        <v>64.29956656491953</v>
      </c>
      <c r="I17" s="24">
        <f>'[2]КМар 11'!$S17</f>
        <v>224.4614490958052</v>
      </c>
      <c r="J17" s="25">
        <f t="shared" si="1"/>
        <v>847.0497954490338</v>
      </c>
      <c r="K17" s="26"/>
      <c r="L17" s="26">
        <v>66.67</v>
      </c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3">
        <f t="shared" si="5"/>
        <v>66.67</v>
      </c>
      <c r="Y17" s="24">
        <f t="shared" si="2"/>
        <v>5923.906</v>
      </c>
      <c r="Z17" s="24">
        <f t="shared" si="3"/>
        <v>-2433.136</v>
      </c>
      <c r="AA17" s="24">
        <f>'[1]КМар 11'!$AE$17</f>
        <v>80326.03</v>
      </c>
    </row>
    <row r="18" spans="1:27" ht="19.5" customHeight="1">
      <c r="A18" s="23" t="s">
        <v>41</v>
      </c>
      <c r="B18" s="24">
        <f>'[1]КМар 11'!$L$18</f>
        <v>6894.33</v>
      </c>
      <c r="C18" s="24">
        <f>7.78*B2+(1.41+0.05)*B2</f>
        <v>5857.236</v>
      </c>
      <c r="D18" s="25">
        <f t="shared" si="4"/>
        <v>3514.3415999999997</v>
      </c>
      <c r="E18" s="25">
        <f t="shared" si="0"/>
        <v>984.0156479999999</v>
      </c>
      <c r="F18" s="24">
        <v>727.7</v>
      </c>
      <c r="G18" s="24">
        <f>'[1]КМар 11'!$Q18</f>
        <v>52.14282643445907</v>
      </c>
      <c r="H18" s="24">
        <f>'[1]КМар 11'!$R18</f>
        <v>8.78048017884571</v>
      </c>
      <c r="I18" s="24">
        <f>'[2]КМар 11'!$S18</f>
        <v>236.86057089145365</v>
      </c>
      <c r="J18" s="25">
        <f t="shared" si="1"/>
        <v>333.3948744952413</v>
      </c>
      <c r="K18" s="26"/>
      <c r="L18" s="26">
        <v>66.67</v>
      </c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3">
        <f t="shared" si="5"/>
        <v>66.67</v>
      </c>
      <c r="Y18" s="24">
        <f t="shared" si="2"/>
        <v>5923.906</v>
      </c>
      <c r="Z18" s="24">
        <f t="shared" si="3"/>
        <v>970.4240000000001</v>
      </c>
      <c r="AA18" s="24">
        <f>'[1]КМар 11'!$AE$18</f>
        <v>80831.59</v>
      </c>
    </row>
    <row r="19" spans="1:27" ht="19.5" customHeight="1">
      <c r="A19" s="23" t="s">
        <v>42</v>
      </c>
      <c r="B19" s="24">
        <f>'[1]КМар 11'!$L$19</f>
        <v>10214.1</v>
      </c>
      <c r="C19" s="24">
        <f>7.78*B2+(1.41+0.05)*B2</f>
        <v>5857.236</v>
      </c>
      <c r="D19" s="25">
        <f>C19*60/100</f>
        <v>3514.3415999999997</v>
      </c>
      <c r="E19" s="25">
        <f t="shared" si="0"/>
        <v>984.0156479999999</v>
      </c>
      <c r="F19" s="24">
        <v>1497.53</v>
      </c>
      <c r="G19" s="24">
        <f>'[1]КМар 11'!$Q19</f>
        <v>46.323691780366836</v>
      </c>
      <c r="H19" s="24">
        <f>'[1]КМар 11'!$R19</f>
        <v>363.5225335433416</v>
      </c>
      <c r="I19" s="24">
        <f>'[2]КМар 11'!$S19</f>
        <v>279.6795560514807</v>
      </c>
      <c r="J19" s="25">
        <f t="shared" si="1"/>
        <v>-828.1770293751888</v>
      </c>
      <c r="K19" s="26"/>
      <c r="L19" s="26">
        <v>66.67</v>
      </c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>
        <v>4996</v>
      </c>
      <c r="X19" s="23">
        <f t="shared" si="5"/>
        <v>5062.67</v>
      </c>
      <c r="Y19" s="24">
        <f t="shared" si="2"/>
        <v>10919.905999999999</v>
      </c>
      <c r="Z19" s="24">
        <f t="shared" si="3"/>
        <v>-705.8059999999996</v>
      </c>
      <c r="AA19" s="24">
        <f>'[1]КМар 11'!$AE$19</f>
        <v>79115.88</v>
      </c>
    </row>
    <row r="20" spans="1:27" ht="19.5" customHeight="1">
      <c r="A20" s="28" t="s">
        <v>43</v>
      </c>
      <c r="B20" s="29">
        <f>B8+B9+B10+B11+B12+B13+B14+B15+B16+B17+B18+B19</f>
        <v>76581.84000000001</v>
      </c>
      <c r="C20" s="29">
        <f>C8+C9+C10+C11+C12+C13+C14+C15+C16+C17+C18+C19</f>
        <v>67833.639</v>
      </c>
      <c r="D20" s="30">
        <f>SUM(D8:D19)</f>
        <v>40342.663799999995</v>
      </c>
      <c r="E20" s="30">
        <f t="shared" si="0"/>
        <v>11295.945864</v>
      </c>
      <c r="F20" s="30">
        <f>SUM(F8:F19)</f>
        <v>7602.8099999999995</v>
      </c>
      <c r="G20" s="30">
        <f>SUM(G8:G19)</f>
        <v>802.1539007203073</v>
      </c>
      <c r="H20" s="30">
        <f>SUM(H8:H19)</f>
        <v>1665.4283189832058</v>
      </c>
      <c r="I20" s="30">
        <f>SUM(I8:I19)</f>
        <v>2919.5449118792726</v>
      </c>
      <c r="J20" s="30">
        <f>SUM(J8:J19)</f>
        <v>3205.092204417214</v>
      </c>
      <c r="K20" s="28">
        <f aca="true" t="shared" si="6" ref="K20:Q20">K8+K9+K10+K11+K12+K13+K14+K15+K16+K17+K18+K19</f>
        <v>0</v>
      </c>
      <c r="L20" s="29">
        <f t="shared" si="6"/>
        <v>800.0399999999998</v>
      </c>
      <c r="M20" s="28">
        <f t="shared" si="6"/>
        <v>0</v>
      </c>
      <c r="N20" s="28">
        <f t="shared" si="6"/>
        <v>0</v>
      </c>
      <c r="O20" s="28">
        <f t="shared" si="6"/>
        <v>0</v>
      </c>
      <c r="P20" s="28">
        <f t="shared" si="6"/>
        <v>12490</v>
      </c>
      <c r="Q20" s="28">
        <f t="shared" si="6"/>
        <v>0</v>
      </c>
      <c r="R20" s="28">
        <f>R8+R9+R10+R11+R12+R13+R14+R15+R16+R17+R18+R19</f>
        <v>0</v>
      </c>
      <c r="S20" s="28">
        <f>S8+S9+S10+S11+S12+S13+S14+S15+S16+S17+S18+S19</f>
        <v>1700</v>
      </c>
      <c r="T20" s="28">
        <f>SUM(T8:T19)</f>
        <v>9000</v>
      </c>
      <c r="U20" s="28">
        <f>SUM(U8:U19)</f>
        <v>5634</v>
      </c>
      <c r="V20" s="28">
        <f>V8+V9+V10+V11+V12+V13+V14+V15+V16+V17+V18+V19</f>
        <v>0</v>
      </c>
      <c r="W20" s="28">
        <f>W8+W9+W10+W11+W12+W13+W14+W15+W16+W17+W18+W19</f>
        <v>13541</v>
      </c>
      <c r="X20" s="25">
        <f>K20+L20+M20+N20+O20+P20+V20+W20+R20+S20+T20+U20</f>
        <v>43165.04</v>
      </c>
      <c r="Y20" s="25">
        <f>C20+X20</f>
        <v>110998.679</v>
      </c>
      <c r="Z20" s="25">
        <f>B20-C20-X20</f>
        <v>-34416.838999999985</v>
      </c>
      <c r="AA20" s="24"/>
    </row>
    <row r="21" spans="4:10" ht="12.75">
      <c r="D21" s="31"/>
      <c r="E21" s="31"/>
      <c r="F21" s="31"/>
      <c r="G21" s="31"/>
      <c r="H21" s="31"/>
      <c r="I21" s="31"/>
      <c r="J21" s="31"/>
    </row>
    <row r="22" spans="1:25" ht="12.75">
      <c r="A22" s="2"/>
      <c r="B22" s="32"/>
      <c r="E22" s="33" t="s">
        <v>44</v>
      </c>
      <c r="F22" s="33"/>
      <c r="G22" s="33"/>
      <c r="H22" s="33"/>
      <c r="I22" s="33"/>
      <c r="J22" s="33"/>
      <c r="K22" s="33"/>
      <c r="L22" s="33"/>
      <c r="Y22" s="34"/>
    </row>
    <row r="23" spans="1:25" ht="12.75">
      <c r="A23" s="2"/>
      <c r="B23" s="32"/>
      <c r="E23" s="35" t="s">
        <v>45</v>
      </c>
      <c r="F23" s="35"/>
      <c r="G23" s="35"/>
      <c r="H23" s="35"/>
      <c r="I23" s="35"/>
      <c r="J23" s="35"/>
      <c r="K23" s="35"/>
      <c r="L23" s="35"/>
      <c r="M23" s="36"/>
      <c r="N23" s="33"/>
      <c r="O23" s="33"/>
      <c r="P23" s="33"/>
      <c r="Q23" s="33"/>
      <c r="R23" s="33"/>
      <c r="S23" s="33"/>
      <c r="T23" s="37"/>
      <c r="U23" s="37"/>
      <c r="Y23" s="34"/>
    </row>
    <row r="24" spans="1:23" ht="12.75">
      <c r="A24" s="2"/>
      <c r="B24" s="32"/>
      <c r="E24" s="35"/>
      <c r="F24" s="35"/>
      <c r="G24" s="35"/>
      <c r="H24" s="35"/>
      <c r="I24" s="35"/>
      <c r="J24" s="35"/>
      <c r="K24" s="35"/>
      <c r="L24" s="35"/>
      <c r="N24" s="38"/>
      <c r="O24" s="35"/>
      <c r="P24" s="35"/>
      <c r="Q24" s="35"/>
      <c r="R24" s="35"/>
      <c r="S24" s="35"/>
      <c r="T24" s="35"/>
      <c r="U24" s="35"/>
      <c r="V24" s="35"/>
      <c r="W24" s="39"/>
    </row>
    <row r="25" spans="1:23" ht="12.75">
      <c r="A25" s="40"/>
      <c r="B25" s="41"/>
      <c r="E25" s="35" t="s">
        <v>46</v>
      </c>
      <c r="F25" s="35"/>
      <c r="G25" s="35"/>
      <c r="H25" s="35"/>
      <c r="I25" s="35"/>
      <c r="J25" s="35"/>
      <c r="K25" s="35"/>
      <c r="L25" s="35"/>
      <c r="O25" s="35"/>
      <c r="P25" s="35"/>
      <c r="Q25" s="35"/>
      <c r="R25" s="35"/>
      <c r="S25" s="35"/>
      <c r="T25" s="35"/>
      <c r="U25" s="35"/>
      <c r="V25" s="35"/>
      <c r="W25" s="39"/>
    </row>
    <row r="26" spans="1:23" ht="12.75">
      <c r="A26" s="40" t="s">
        <v>47</v>
      </c>
      <c r="C26" s="41">
        <f>B20</f>
        <v>76581.84000000001</v>
      </c>
      <c r="L26" s="2"/>
      <c r="P26" s="38"/>
      <c r="Q26" s="38"/>
      <c r="R26" s="38"/>
      <c r="S26" s="38"/>
      <c r="T26" s="38"/>
      <c r="U26" s="38"/>
      <c r="V26" s="38"/>
      <c r="W26" s="38"/>
    </row>
    <row r="27" spans="1:13" ht="15">
      <c r="A27" s="40" t="s">
        <v>48</v>
      </c>
      <c r="C27" s="41">
        <f>C20+X20</f>
        <v>110998.679</v>
      </c>
      <c r="D27" s="34"/>
      <c r="E27" s="42" t="s">
        <v>49</v>
      </c>
      <c r="F27" s="42"/>
      <c r="G27" s="42"/>
      <c r="H27" s="42"/>
      <c r="I27" s="42"/>
      <c r="J27" s="42"/>
      <c r="K27" s="42"/>
      <c r="L27" s="42"/>
      <c r="M27" s="42">
        <v>8</v>
      </c>
    </row>
    <row r="28" spans="2:13" ht="15">
      <c r="B28" s="2"/>
      <c r="E28" s="43" t="s">
        <v>50</v>
      </c>
      <c r="F28" s="44"/>
      <c r="G28" s="44"/>
      <c r="H28" s="44"/>
      <c r="I28" s="44"/>
      <c r="J28" s="44"/>
      <c r="K28" s="44"/>
      <c r="L28" s="44"/>
      <c r="M28" s="45"/>
    </row>
    <row r="29" spans="1:13" ht="15" hidden="1">
      <c r="A29" s="46" t="s">
        <v>51</v>
      </c>
      <c r="E29" s="47" t="s">
        <v>52</v>
      </c>
      <c r="F29" s="48"/>
      <c r="G29" s="48"/>
      <c r="H29" s="48"/>
      <c r="I29" s="48"/>
      <c r="J29" s="48"/>
      <c r="K29" s="48"/>
      <c r="L29" s="49"/>
      <c r="M29" s="42"/>
    </row>
    <row r="30" spans="1:13" ht="15.75">
      <c r="A30" s="50"/>
      <c r="B30" s="51">
        <v>7.78</v>
      </c>
      <c r="E30" s="47" t="s">
        <v>53</v>
      </c>
      <c r="F30" s="48"/>
      <c r="G30" s="48"/>
      <c r="H30" s="48"/>
      <c r="I30" s="48"/>
      <c r="J30" s="48"/>
      <c r="K30" s="48"/>
      <c r="L30" s="49"/>
      <c r="M30" s="42"/>
    </row>
    <row r="31" spans="1:13" ht="15.75">
      <c r="A31" s="50"/>
      <c r="B31" s="51">
        <v>3.3</v>
      </c>
      <c r="E31" s="42" t="s">
        <v>54</v>
      </c>
      <c r="F31" s="42"/>
      <c r="G31" s="42"/>
      <c r="H31" s="42"/>
      <c r="I31" s="42"/>
      <c r="J31" s="42"/>
      <c r="K31" s="42"/>
      <c r="L31" s="42"/>
      <c r="M31" s="42">
        <v>1</v>
      </c>
    </row>
    <row r="32" spans="1:13" ht="15.75">
      <c r="A32" s="52"/>
      <c r="B32" s="51">
        <f>SUM(B30:B31)</f>
        <v>11.08</v>
      </c>
      <c r="E32" s="53" t="s">
        <v>55</v>
      </c>
      <c r="F32" s="53"/>
      <c r="G32" s="53"/>
      <c r="H32" s="53"/>
      <c r="I32" s="53"/>
      <c r="J32" s="53"/>
      <c r="K32" s="53"/>
      <c r="L32" s="53"/>
      <c r="M32" s="42">
        <v>7</v>
      </c>
    </row>
    <row r="33" spans="2:13" ht="15.75">
      <c r="B33" s="51" t="s">
        <v>56</v>
      </c>
      <c r="K33" s="51"/>
      <c r="M33" s="54"/>
    </row>
  </sheetData>
  <sheetProtection/>
  <mergeCells count="21">
    <mergeCell ref="E28:M28"/>
    <mergeCell ref="E29:L29"/>
    <mergeCell ref="E30:L30"/>
    <mergeCell ref="E32:L32"/>
    <mergeCell ref="E22:L22"/>
    <mergeCell ref="E23:L23"/>
    <mergeCell ref="N23:S23"/>
    <mergeCell ref="E24:L24"/>
    <mergeCell ref="O24:V24"/>
    <mergeCell ref="E25:L25"/>
    <mergeCell ref="O25:V25"/>
    <mergeCell ref="C2:O2"/>
    <mergeCell ref="AA3:AA7"/>
    <mergeCell ref="A5:A7"/>
    <mergeCell ref="B5:B7"/>
    <mergeCell ref="C5:W5"/>
    <mergeCell ref="X5:X7"/>
    <mergeCell ref="Y5:Y7"/>
    <mergeCell ref="Z5:Z7"/>
    <mergeCell ref="C6:C7"/>
    <mergeCell ref="D6:W6"/>
  </mergeCells>
  <printOptions/>
  <pageMargins left="0.75" right="0.75" top="1" bottom="1" header="0.5" footer="0.5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</dc:creator>
  <cp:keywords/>
  <dc:description/>
  <cp:lastModifiedBy>User3</cp:lastModifiedBy>
  <dcterms:created xsi:type="dcterms:W3CDTF">2022-04-15T06:56:43Z</dcterms:created>
  <dcterms:modified xsi:type="dcterms:W3CDTF">2022-04-15T06:57:02Z</dcterms:modified>
  <cp:category/>
  <cp:version/>
  <cp:contentType/>
  <cp:contentStatus/>
</cp:coreProperties>
</file>